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onika Lewenski\Courses\Chapter 5. Electricity\Renewable Energy\12. Batteries\"/>
    </mc:Choice>
  </mc:AlternateContent>
  <bookViews>
    <workbookView xWindow="0" yWindow="0" windowWidth="19200" windowHeight="6950"/>
  </bookViews>
  <sheets>
    <sheet name="General Comments" sheetId="1" r:id="rId1"/>
    <sheet name="Assumptions for Regions" sheetId="13" r:id="rId2"/>
    <sheet name="Summary" sheetId="19" r:id="rId3"/>
    <sheet name="Assumptions" sheetId="55" r:id="rId4"/>
    <sheet name="PJM Analysis " sheetId="14" r:id="rId5"/>
    <sheet name="NE ISO Analysis" sheetId="15" r:id="rId6"/>
    <sheet name="CAISO Analysis" sheetId="16" r:id="rId7"/>
    <sheet name="ERCOT Analysis" sheetId="17" r:id="rId8"/>
    <sheet name="NY ISO" sheetId="18" r:id="rId9"/>
    <sheet name="CA ISO" sheetId="24" r:id="rId10"/>
    <sheet name="ERCOT" sheetId="26" r:id="rId11"/>
    <sheet name="Sheet25 (3)" sheetId="79" r:id="rId12"/>
    <sheet name="Sheet25 (2)" sheetId="78" r:id="rId13"/>
  </sheets>
  <calcPr calcId="171027" calcMode="autoNoTable" calcOnSave="0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8" i="18" l="1"/>
  <c r="I148" i="18"/>
  <c r="J148" i="18"/>
  <c r="K148" i="18"/>
  <c r="L148" i="18"/>
  <c r="M148" i="18"/>
  <c r="N148" i="18"/>
  <c r="O148" i="18"/>
  <c r="P148" i="18"/>
  <c r="G148" i="18"/>
  <c r="H144" i="18"/>
  <c r="I144" i="18"/>
  <c r="J144" i="18"/>
  <c r="K144" i="18"/>
  <c r="L144" i="18"/>
  <c r="M144" i="18"/>
  <c r="N144" i="18"/>
  <c r="O144" i="18"/>
  <c r="P144" i="18"/>
  <c r="G144" i="18"/>
  <c r="G134" i="18"/>
  <c r="H134" i="18"/>
  <c r="I134" i="18"/>
  <c r="J134" i="18"/>
  <c r="K134" i="18"/>
  <c r="L134" i="18"/>
  <c r="M134" i="18"/>
  <c r="N134" i="18"/>
  <c r="O134" i="18"/>
  <c r="P134" i="18"/>
  <c r="H128" i="18"/>
  <c r="I128" i="18"/>
  <c r="J128" i="18"/>
  <c r="K128" i="18"/>
  <c r="L128" i="18"/>
  <c r="M128" i="18"/>
  <c r="N128" i="18"/>
  <c r="O128" i="18"/>
  <c r="P128" i="18"/>
  <c r="G128" i="18"/>
  <c r="E97" i="18"/>
  <c r="E135" i="18"/>
  <c r="K135" i="18" s="1"/>
  <c r="K136" i="18" s="1"/>
  <c r="E134" i="18"/>
  <c r="E123" i="18"/>
  <c r="P121" i="18"/>
  <c r="P135" i="18" s="1"/>
  <c r="O121" i="18"/>
  <c r="O135" i="18" s="1"/>
  <c r="O136" i="18" s="1"/>
  <c r="N121" i="18"/>
  <c r="M121" i="18"/>
  <c r="L121" i="18"/>
  <c r="L135" i="18" s="1"/>
  <c r="K121" i="18"/>
  <c r="J121" i="18"/>
  <c r="I121" i="18"/>
  <c r="I135" i="18" s="1"/>
  <c r="H121" i="18"/>
  <c r="H135" i="18" s="1"/>
  <c r="G121" i="18"/>
  <c r="G135" i="18" s="1"/>
  <c r="G136" i="18" s="1"/>
  <c r="P120" i="18"/>
  <c r="O120" i="18"/>
  <c r="N120" i="18"/>
  <c r="M120" i="18"/>
  <c r="L120" i="18"/>
  <c r="K120" i="18"/>
  <c r="J120" i="18"/>
  <c r="I120" i="18"/>
  <c r="H120" i="18"/>
  <c r="G120" i="18"/>
  <c r="P119" i="18"/>
  <c r="O119" i="18"/>
  <c r="O123" i="18" s="1"/>
  <c r="O151" i="18" s="1"/>
  <c r="N119" i="18"/>
  <c r="M119" i="18"/>
  <c r="L119" i="18"/>
  <c r="K119" i="18"/>
  <c r="K124" i="18" s="1"/>
  <c r="K145" i="18" s="1"/>
  <c r="J119" i="18"/>
  <c r="I119" i="18"/>
  <c r="H119" i="18"/>
  <c r="G119" i="18"/>
  <c r="E113" i="18"/>
  <c r="E112" i="18"/>
  <c r="E124" i="18"/>
  <c r="I124" i="18" s="1"/>
  <c r="I145" i="18" s="1"/>
  <c r="E107" i="18"/>
  <c r="E94" i="18"/>
  <c r="E72" i="18"/>
  <c r="E25" i="55"/>
  <c r="F25" i="55"/>
  <c r="G25" i="55"/>
  <c r="H25" i="55"/>
  <c r="D25" i="55"/>
  <c r="E98" i="18"/>
  <c r="E84" i="18"/>
  <c r="E58" i="18"/>
  <c r="E75" i="18"/>
  <c r="E74" i="18"/>
  <c r="E115" i="18"/>
  <c r="E64" i="18"/>
  <c r="E63" i="18"/>
  <c r="E61" i="18"/>
  <c r="E60" i="18"/>
  <c r="E85" i="18"/>
  <c r="E75" i="14"/>
  <c r="E58" i="14"/>
  <c r="E60" i="14"/>
  <c r="I136" i="18" l="1"/>
  <c r="M135" i="18"/>
  <c r="M136" i="18" s="1"/>
  <c r="P124" i="18"/>
  <c r="P145" i="18" s="1"/>
  <c r="J123" i="18"/>
  <c r="J151" i="18" s="1"/>
  <c r="H136" i="18"/>
  <c r="L136" i="18"/>
  <c r="P136" i="18"/>
  <c r="N135" i="18"/>
  <c r="N136" i="18" s="1"/>
  <c r="K146" i="18"/>
  <c r="O124" i="18"/>
  <c r="O145" i="18" s="1"/>
  <c r="O146" i="18" s="1"/>
  <c r="P146" i="18"/>
  <c r="E81" i="18"/>
  <c r="E59" i="18"/>
  <c r="G59" i="18" s="1"/>
  <c r="H59" i="18" s="1"/>
  <c r="I59" i="18" s="1"/>
  <c r="J59" i="18" s="1"/>
  <c r="K59" i="18" s="1"/>
  <c r="L59" i="18" s="1"/>
  <c r="M59" i="18" s="1"/>
  <c r="N59" i="18" s="1"/>
  <c r="O59" i="18" s="1"/>
  <c r="P59" i="18" s="1"/>
  <c r="M61" i="18"/>
  <c r="I61" i="18"/>
  <c r="N61" i="18"/>
  <c r="H61" i="18"/>
  <c r="L61" i="18"/>
  <c r="G61" i="18"/>
  <c r="J61" i="18"/>
  <c r="P61" i="18"/>
  <c r="O61" i="18"/>
  <c r="K61" i="18"/>
  <c r="P63" i="18"/>
  <c r="L63" i="18"/>
  <c r="H63" i="18"/>
  <c r="N63" i="18"/>
  <c r="I63" i="18"/>
  <c r="M63" i="18"/>
  <c r="G63" i="18"/>
  <c r="J63" i="18"/>
  <c r="O63" i="18"/>
  <c r="K63" i="18"/>
  <c r="M64" i="18"/>
  <c r="I64" i="18"/>
  <c r="N64" i="18"/>
  <c r="H64" i="18"/>
  <c r="L64" i="18"/>
  <c r="G64" i="18"/>
  <c r="E138" i="18"/>
  <c r="J64" i="18"/>
  <c r="P64" i="18"/>
  <c r="O64" i="18"/>
  <c r="K64" i="18"/>
  <c r="E127" i="18"/>
  <c r="E77" i="18"/>
  <c r="E78" i="18"/>
  <c r="E90" i="18"/>
  <c r="E95" i="18" s="1"/>
  <c r="E149" i="18"/>
  <c r="G58" i="18"/>
  <c r="E116" i="18"/>
  <c r="E99" i="18"/>
  <c r="I146" i="18"/>
  <c r="M123" i="18"/>
  <c r="M151" i="18" s="1"/>
  <c r="I123" i="18"/>
  <c r="I151" i="18" s="1"/>
  <c r="K123" i="18"/>
  <c r="K151" i="18" s="1"/>
  <c r="P123" i="18"/>
  <c r="P151" i="18" s="1"/>
  <c r="N124" i="18"/>
  <c r="N145" i="18" s="1"/>
  <c r="N146" i="18" s="1"/>
  <c r="J124" i="18"/>
  <c r="J145" i="18" s="1"/>
  <c r="J146" i="18" s="1"/>
  <c r="G123" i="18"/>
  <c r="G151" i="18" s="1"/>
  <c r="L123" i="18"/>
  <c r="L151" i="18" s="1"/>
  <c r="G124" i="18"/>
  <c r="G145" i="18" s="1"/>
  <c r="G146" i="18" s="1"/>
  <c r="L124" i="18"/>
  <c r="L145" i="18" s="1"/>
  <c r="L146" i="18" s="1"/>
  <c r="H123" i="18"/>
  <c r="H151" i="18" s="1"/>
  <c r="N123" i="18"/>
  <c r="N151" i="18" s="1"/>
  <c r="H124" i="18"/>
  <c r="H145" i="18" s="1"/>
  <c r="H146" i="18" s="1"/>
  <c r="M124" i="18"/>
  <c r="M145" i="18" s="1"/>
  <c r="M146" i="18" s="1"/>
  <c r="J135" i="18"/>
  <c r="J136" i="18" s="1"/>
  <c r="H150" i="17"/>
  <c r="I150" i="17"/>
  <c r="J150" i="17"/>
  <c r="K150" i="17"/>
  <c r="L150" i="17"/>
  <c r="M150" i="17"/>
  <c r="N150" i="17"/>
  <c r="O150" i="17"/>
  <c r="P150" i="17"/>
  <c r="G150" i="17"/>
  <c r="H153" i="16"/>
  <c r="I153" i="16"/>
  <c r="J153" i="16"/>
  <c r="K153" i="16"/>
  <c r="L153" i="16"/>
  <c r="M153" i="16"/>
  <c r="N153" i="16"/>
  <c r="O153" i="16"/>
  <c r="P153" i="16"/>
  <c r="G153" i="16"/>
  <c r="H151" i="15"/>
  <c r="I151" i="15"/>
  <c r="J151" i="15"/>
  <c r="K151" i="15"/>
  <c r="L151" i="15"/>
  <c r="M151" i="15"/>
  <c r="N151" i="15"/>
  <c r="O151" i="15"/>
  <c r="P151" i="15"/>
  <c r="G151" i="15"/>
  <c r="H150" i="14"/>
  <c r="I150" i="14"/>
  <c r="J150" i="14"/>
  <c r="K150" i="14"/>
  <c r="L150" i="14"/>
  <c r="M150" i="14"/>
  <c r="N150" i="14"/>
  <c r="O150" i="14"/>
  <c r="P150" i="14"/>
  <c r="G150" i="14"/>
  <c r="H127" i="17"/>
  <c r="I127" i="17"/>
  <c r="J127" i="17"/>
  <c r="K127" i="17"/>
  <c r="L127" i="17"/>
  <c r="M127" i="17"/>
  <c r="N127" i="17"/>
  <c r="O127" i="17"/>
  <c r="P127" i="17"/>
  <c r="G127" i="17"/>
  <c r="E108" i="17"/>
  <c r="Q29" i="17"/>
  <c r="P147" i="17"/>
  <c r="O147" i="17"/>
  <c r="N147" i="17"/>
  <c r="M147" i="17"/>
  <c r="L147" i="17"/>
  <c r="K147" i="17"/>
  <c r="J147" i="17"/>
  <c r="I147" i="17"/>
  <c r="H147" i="17"/>
  <c r="G147" i="17"/>
  <c r="P143" i="17"/>
  <c r="O143" i="17"/>
  <c r="N143" i="17"/>
  <c r="M143" i="17"/>
  <c r="L143" i="17"/>
  <c r="K143" i="17"/>
  <c r="J143" i="17"/>
  <c r="I143" i="17"/>
  <c r="H143" i="17"/>
  <c r="G143" i="17"/>
  <c r="E134" i="17"/>
  <c r="P133" i="17"/>
  <c r="O133" i="17"/>
  <c r="N133" i="17"/>
  <c r="M133" i="17"/>
  <c r="L133" i="17"/>
  <c r="K133" i="17"/>
  <c r="J133" i="17"/>
  <c r="I133" i="17"/>
  <c r="H133" i="17"/>
  <c r="G133" i="17"/>
  <c r="E133" i="17"/>
  <c r="E123" i="17"/>
  <c r="E122" i="17"/>
  <c r="G120" i="17"/>
  <c r="G134" i="17" s="1"/>
  <c r="G135" i="17" s="1"/>
  <c r="G119" i="17"/>
  <c r="G118" i="17"/>
  <c r="E112" i="17"/>
  <c r="E111" i="17"/>
  <c r="E106" i="17"/>
  <c r="E96" i="17"/>
  <c r="E94" i="17"/>
  <c r="E72" i="17"/>
  <c r="H130" i="16"/>
  <c r="I130" i="16"/>
  <c r="J130" i="16"/>
  <c r="K130" i="16"/>
  <c r="L130" i="16"/>
  <c r="M130" i="16"/>
  <c r="N130" i="16"/>
  <c r="O130" i="16"/>
  <c r="P130" i="16"/>
  <c r="G130" i="16"/>
  <c r="H150" i="16"/>
  <c r="I150" i="16"/>
  <c r="J150" i="16"/>
  <c r="K150" i="16"/>
  <c r="L150" i="16"/>
  <c r="M150" i="16"/>
  <c r="N150" i="16"/>
  <c r="O150" i="16"/>
  <c r="P150" i="16"/>
  <c r="G150" i="16"/>
  <c r="H146" i="16"/>
  <c r="I146" i="16"/>
  <c r="J146" i="16"/>
  <c r="K146" i="16"/>
  <c r="L146" i="16"/>
  <c r="M146" i="16"/>
  <c r="N146" i="16"/>
  <c r="O146" i="16"/>
  <c r="P146" i="16"/>
  <c r="G146" i="16"/>
  <c r="H136" i="16"/>
  <c r="I136" i="16"/>
  <c r="J136" i="16"/>
  <c r="K136" i="16"/>
  <c r="L136" i="16"/>
  <c r="M136" i="16"/>
  <c r="N136" i="16"/>
  <c r="O136" i="16"/>
  <c r="P136" i="16"/>
  <c r="G136" i="16"/>
  <c r="E111" i="16"/>
  <c r="O30" i="16"/>
  <c r="P29" i="16"/>
  <c r="E72" i="16"/>
  <c r="E71" i="16"/>
  <c r="E97" i="16"/>
  <c r="E137" i="16"/>
  <c r="E136" i="16"/>
  <c r="E126" i="16"/>
  <c r="E125" i="16"/>
  <c r="G123" i="16"/>
  <c r="G137" i="16" s="1"/>
  <c r="G122" i="16"/>
  <c r="G121" i="16"/>
  <c r="G126" i="16" s="1"/>
  <c r="G147" i="16" s="1"/>
  <c r="E115" i="16"/>
  <c r="E114" i="16"/>
  <c r="E109" i="16"/>
  <c r="E99" i="16"/>
  <c r="E75" i="16"/>
  <c r="E85" i="17"/>
  <c r="E74" i="17"/>
  <c r="E64" i="17"/>
  <c r="E61" i="17"/>
  <c r="E114" i="17"/>
  <c r="E97" i="17"/>
  <c r="E84" i="17"/>
  <c r="E60" i="17"/>
  <c r="E75" i="17"/>
  <c r="E63" i="17"/>
  <c r="E58" i="17"/>
  <c r="E78" i="16"/>
  <c r="E64" i="16"/>
  <c r="E61" i="16"/>
  <c r="E88" i="16"/>
  <c r="E77" i="16"/>
  <c r="E65" i="16"/>
  <c r="E62" i="16"/>
  <c r="E59" i="16"/>
  <c r="E117" i="16"/>
  <c r="E100" i="16"/>
  <c r="E87" i="16"/>
  <c r="E76" i="15"/>
  <c r="K66" i="18" l="1"/>
  <c r="G66" i="18"/>
  <c r="I66" i="18"/>
  <c r="G60" i="18"/>
  <c r="G62" i="18" s="1"/>
  <c r="H58" i="18"/>
  <c r="E79" i="18"/>
  <c r="E82" i="18" s="1"/>
  <c r="E86" i="18" s="1"/>
  <c r="E88" i="18" s="1"/>
  <c r="O66" i="18"/>
  <c r="L66" i="18"/>
  <c r="M66" i="18"/>
  <c r="M149" i="18"/>
  <c r="M150" i="18" s="1"/>
  <c r="I149" i="18"/>
  <c r="I150" i="18" s="1"/>
  <c r="L149" i="18"/>
  <c r="L150" i="18" s="1"/>
  <c r="G149" i="18"/>
  <c r="G150" i="18" s="1"/>
  <c r="P149" i="18"/>
  <c r="P150" i="18" s="1"/>
  <c r="K149" i="18"/>
  <c r="K150" i="18" s="1"/>
  <c r="O149" i="18"/>
  <c r="O150" i="18" s="1"/>
  <c r="J149" i="18"/>
  <c r="J150" i="18" s="1"/>
  <c r="H149" i="18"/>
  <c r="H150" i="18" s="1"/>
  <c r="N149" i="18"/>
  <c r="N150" i="18" s="1"/>
  <c r="O127" i="18"/>
  <c r="K127" i="18"/>
  <c r="G127" i="18"/>
  <c r="M127" i="18"/>
  <c r="H127" i="18"/>
  <c r="L127" i="18"/>
  <c r="P127" i="18"/>
  <c r="J127" i="18"/>
  <c r="N127" i="18"/>
  <c r="I127" i="18"/>
  <c r="P66" i="18"/>
  <c r="H66" i="18"/>
  <c r="E129" i="18"/>
  <c r="E102" i="18"/>
  <c r="E103" i="18" s="1"/>
  <c r="M138" i="18"/>
  <c r="M139" i="18" s="1"/>
  <c r="I138" i="18"/>
  <c r="I139" i="18" s="1"/>
  <c r="N138" i="18"/>
  <c r="N139" i="18" s="1"/>
  <c r="H138" i="18"/>
  <c r="H139" i="18" s="1"/>
  <c r="L138" i="18"/>
  <c r="L139" i="18" s="1"/>
  <c r="G138" i="18"/>
  <c r="G139" i="18" s="1"/>
  <c r="G156" i="18" s="1"/>
  <c r="G157" i="18" s="1"/>
  <c r="P138" i="18"/>
  <c r="P139" i="18" s="1"/>
  <c r="K138" i="18"/>
  <c r="K139" i="18" s="1"/>
  <c r="O138" i="18"/>
  <c r="O139" i="18" s="1"/>
  <c r="J138" i="18"/>
  <c r="J139" i="18" s="1"/>
  <c r="J66" i="18"/>
  <c r="N66" i="18"/>
  <c r="E153" i="18"/>
  <c r="E126" i="17"/>
  <c r="N126" i="17" s="1"/>
  <c r="E129" i="16"/>
  <c r="O129" i="16" s="1"/>
  <c r="G58" i="17"/>
  <c r="E148" i="17"/>
  <c r="E90" i="17"/>
  <c r="M63" i="17"/>
  <c r="I63" i="17"/>
  <c r="P63" i="17"/>
  <c r="L63" i="17"/>
  <c r="H63" i="17"/>
  <c r="O63" i="17"/>
  <c r="K63" i="17"/>
  <c r="G63" i="17"/>
  <c r="N63" i="17"/>
  <c r="J63" i="17"/>
  <c r="E78" i="17"/>
  <c r="E59" i="17"/>
  <c r="G59" i="17" s="1"/>
  <c r="H59" i="17" s="1"/>
  <c r="I59" i="17" s="1"/>
  <c r="J59" i="17" s="1"/>
  <c r="K59" i="17" s="1"/>
  <c r="L59" i="17" s="1"/>
  <c r="M59" i="17" s="1"/>
  <c r="N59" i="17" s="1"/>
  <c r="O59" i="17" s="1"/>
  <c r="P59" i="17" s="1"/>
  <c r="E81" i="17"/>
  <c r="E115" i="17"/>
  <c r="N61" i="17"/>
  <c r="J61" i="17"/>
  <c r="M61" i="17"/>
  <c r="I61" i="17"/>
  <c r="P61" i="17"/>
  <c r="L61" i="17"/>
  <c r="H61" i="17"/>
  <c r="G61" i="17"/>
  <c r="O61" i="17"/>
  <c r="K61" i="17"/>
  <c r="N64" i="17"/>
  <c r="J64" i="17"/>
  <c r="E137" i="17"/>
  <c r="M64" i="17"/>
  <c r="I64" i="17"/>
  <c r="P64" i="17"/>
  <c r="L64" i="17"/>
  <c r="H64" i="17"/>
  <c r="G64" i="17"/>
  <c r="O64" i="17"/>
  <c r="K64" i="17"/>
  <c r="E77" i="17"/>
  <c r="E98" i="17"/>
  <c r="G123" i="17"/>
  <c r="G144" i="17" s="1"/>
  <c r="G145" i="17" s="1"/>
  <c r="G122" i="17"/>
  <c r="H123" i="17"/>
  <c r="H144" i="17" s="1"/>
  <c r="H145" i="17" s="1"/>
  <c r="G138" i="16"/>
  <c r="E118" i="16"/>
  <c r="G59" i="16"/>
  <c r="E93" i="16"/>
  <c r="P62" i="16"/>
  <c r="P67" i="16" s="1"/>
  <c r="L62" i="16"/>
  <c r="L67" i="16" s="1"/>
  <c r="H62" i="16"/>
  <c r="H67" i="16" s="1"/>
  <c r="O62" i="16"/>
  <c r="O67" i="16" s="1"/>
  <c r="K62" i="16"/>
  <c r="K67" i="16" s="1"/>
  <c r="G62" i="16"/>
  <c r="G67" i="16" s="1"/>
  <c r="J62" i="16"/>
  <c r="J67" i="16" s="1"/>
  <c r="N62" i="16"/>
  <c r="N67" i="16" s="1"/>
  <c r="I62" i="16"/>
  <c r="I67" i="16" s="1"/>
  <c r="M62" i="16"/>
  <c r="M67" i="16" s="1"/>
  <c r="P65" i="16"/>
  <c r="L65" i="16"/>
  <c r="H65" i="16"/>
  <c r="O65" i="16"/>
  <c r="K65" i="16"/>
  <c r="G65" i="16"/>
  <c r="N65" i="16"/>
  <c r="J65" i="16"/>
  <c r="I65" i="16"/>
  <c r="M65" i="16"/>
  <c r="E140" i="16"/>
  <c r="E151" i="16" s="1"/>
  <c r="E80" i="16"/>
  <c r="E60" i="16"/>
  <c r="G60" i="16" s="1"/>
  <c r="H60" i="16" s="1"/>
  <c r="I60" i="16" s="1"/>
  <c r="J60" i="16" s="1"/>
  <c r="K60" i="16" s="1"/>
  <c r="L60" i="16" s="1"/>
  <c r="M60" i="16" s="1"/>
  <c r="N60" i="16" s="1"/>
  <c r="O60" i="16" s="1"/>
  <c r="P60" i="16" s="1"/>
  <c r="E84" i="16"/>
  <c r="O64" i="16"/>
  <c r="K64" i="16"/>
  <c r="G64" i="16"/>
  <c r="N64" i="16"/>
  <c r="J64" i="16"/>
  <c r="M64" i="16"/>
  <c r="I64" i="16"/>
  <c r="P64" i="16"/>
  <c r="L64" i="16"/>
  <c r="H64" i="16"/>
  <c r="E81" i="16"/>
  <c r="G125" i="16"/>
  <c r="E101" i="16"/>
  <c r="G148" i="16"/>
  <c r="P148" i="15"/>
  <c r="O148" i="15"/>
  <c r="N148" i="15"/>
  <c r="M148" i="15"/>
  <c r="L148" i="15"/>
  <c r="K148" i="15"/>
  <c r="J148" i="15"/>
  <c r="I148" i="15"/>
  <c r="H148" i="15"/>
  <c r="G148" i="15"/>
  <c r="P144" i="15"/>
  <c r="O144" i="15"/>
  <c r="N144" i="15"/>
  <c r="M144" i="15"/>
  <c r="L144" i="15"/>
  <c r="K144" i="15"/>
  <c r="J144" i="15"/>
  <c r="I144" i="15"/>
  <c r="H144" i="15"/>
  <c r="G144" i="15"/>
  <c r="E135" i="15"/>
  <c r="P134" i="15"/>
  <c r="O134" i="15"/>
  <c r="N134" i="15"/>
  <c r="M134" i="15"/>
  <c r="L134" i="15"/>
  <c r="K134" i="15"/>
  <c r="J134" i="15"/>
  <c r="I134" i="15"/>
  <c r="H134" i="15"/>
  <c r="G134" i="15"/>
  <c r="E134" i="15"/>
  <c r="P128" i="15"/>
  <c r="O128" i="15"/>
  <c r="N128" i="15"/>
  <c r="M128" i="15"/>
  <c r="L128" i="15"/>
  <c r="K128" i="15"/>
  <c r="J128" i="15"/>
  <c r="I128" i="15"/>
  <c r="H128" i="15"/>
  <c r="G128" i="15"/>
  <c r="E124" i="15"/>
  <c r="E123" i="15"/>
  <c r="G121" i="15"/>
  <c r="G120" i="15"/>
  <c r="G119" i="15"/>
  <c r="E113" i="15"/>
  <c r="E112" i="15"/>
  <c r="E107" i="15"/>
  <c r="E97" i="15"/>
  <c r="E95" i="15"/>
  <c r="E73" i="15"/>
  <c r="E112" i="14"/>
  <c r="E31" i="55" s="1"/>
  <c r="E111" i="14"/>
  <c r="E30" i="55" s="1"/>
  <c r="H30" i="55" s="1"/>
  <c r="H119" i="17" s="1"/>
  <c r="G119" i="14"/>
  <c r="G120" i="14"/>
  <c r="G118" i="14"/>
  <c r="H27" i="55"/>
  <c r="I27" i="55"/>
  <c r="J27" i="55"/>
  <c r="K27" i="55"/>
  <c r="L27" i="55"/>
  <c r="M27" i="55"/>
  <c r="N27" i="55"/>
  <c r="O27" i="55"/>
  <c r="P27" i="55"/>
  <c r="G27" i="55"/>
  <c r="G31" i="55"/>
  <c r="E106" i="14"/>
  <c r="E29" i="55" s="1"/>
  <c r="H29" i="55" s="1"/>
  <c r="H118" i="17" s="1"/>
  <c r="H122" i="17" s="1"/>
  <c r="E94" i="14"/>
  <c r="H133" i="14"/>
  <c r="I133" i="14"/>
  <c r="J133" i="14"/>
  <c r="K133" i="14"/>
  <c r="L133" i="14"/>
  <c r="M133" i="14"/>
  <c r="N133" i="14"/>
  <c r="O133" i="14"/>
  <c r="P133" i="14"/>
  <c r="E64" i="15"/>
  <c r="E61" i="15"/>
  <c r="E86" i="15"/>
  <c r="E75" i="15"/>
  <c r="E98" i="15"/>
  <c r="E85" i="15"/>
  <c r="E115" i="15"/>
  <c r="E59" i="15"/>
  <c r="E65" i="15"/>
  <c r="E62" i="15"/>
  <c r="E114" i="14"/>
  <c r="E97" i="14"/>
  <c r="E85" i="14"/>
  <c r="E84" i="14"/>
  <c r="E74" i="14"/>
  <c r="E64" i="14"/>
  <c r="E63" i="14"/>
  <c r="E61" i="14"/>
  <c r="G65" i="18" l="1"/>
  <c r="G141" i="18"/>
  <c r="N153" i="18"/>
  <c r="N154" i="18" s="1"/>
  <c r="J153" i="18"/>
  <c r="J154" i="18" s="1"/>
  <c r="M153" i="18"/>
  <c r="M154" i="18" s="1"/>
  <c r="H153" i="18"/>
  <c r="H154" i="18" s="1"/>
  <c r="L153" i="18"/>
  <c r="L154" i="18" s="1"/>
  <c r="G153" i="18"/>
  <c r="G154" i="18" s="1"/>
  <c r="P153" i="18"/>
  <c r="P154" i="18" s="1"/>
  <c r="K153" i="18"/>
  <c r="K154" i="18" s="1"/>
  <c r="O153" i="18"/>
  <c r="O154" i="18" s="1"/>
  <c r="I153" i="18"/>
  <c r="I154" i="18" s="1"/>
  <c r="P140" i="18"/>
  <c r="P156" i="18"/>
  <c r="P157" i="18" s="1"/>
  <c r="N156" i="18"/>
  <c r="N157" i="18" s="1"/>
  <c r="N140" i="18"/>
  <c r="N129" i="18"/>
  <c r="N130" i="18" s="1"/>
  <c r="N131" i="18" s="1"/>
  <c r="N132" i="18" s="1"/>
  <c r="J129" i="18"/>
  <c r="J130" i="18" s="1"/>
  <c r="J131" i="18" s="1"/>
  <c r="J132" i="18" s="1"/>
  <c r="P129" i="18"/>
  <c r="P130" i="18" s="1"/>
  <c r="P131" i="18" s="1"/>
  <c r="P132" i="18" s="1"/>
  <c r="K129" i="18"/>
  <c r="K130" i="18" s="1"/>
  <c r="K131" i="18" s="1"/>
  <c r="K132" i="18" s="1"/>
  <c r="O129" i="18"/>
  <c r="O130" i="18" s="1"/>
  <c r="O131" i="18" s="1"/>
  <c r="O132" i="18" s="1"/>
  <c r="I129" i="18"/>
  <c r="I130" i="18" s="1"/>
  <c r="I131" i="18" s="1"/>
  <c r="I132" i="18" s="1"/>
  <c r="M129" i="18"/>
  <c r="M130" i="18" s="1"/>
  <c r="M131" i="18" s="1"/>
  <c r="M132" i="18" s="1"/>
  <c r="H129" i="18"/>
  <c r="H130" i="18" s="1"/>
  <c r="H131" i="18" s="1"/>
  <c r="H132" i="18" s="1"/>
  <c r="L129" i="18"/>
  <c r="L130" i="18" s="1"/>
  <c r="L131" i="18" s="1"/>
  <c r="L132" i="18" s="1"/>
  <c r="G129" i="18"/>
  <c r="G130" i="18" s="1"/>
  <c r="G131" i="18" s="1"/>
  <c r="G132" i="18" s="1"/>
  <c r="H60" i="18"/>
  <c r="H62" i="18" s="1"/>
  <c r="I58" i="18"/>
  <c r="J156" i="18"/>
  <c r="J157" i="18" s="1"/>
  <c r="J140" i="18"/>
  <c r="I156" i="18"/>
  <c r="I157" i="18" s="1"/>
  <c r="I140" i="18"/>
  <c r="O156" i="18"/>
  <c r="O157" i="18" s="1"/>
  <c r="O140" i="18"/>
  <c r="L156" i="18"/>
  <c r="L157" i="18" s="1"/>
  <c r="L140" i="18"/>
  <c r="M156" i="18"/>
  <c r="M157" i="18" s="1"/>
  <c r="M140" i="18"/>
  <c r="E100" i="18"/>
  <c r="E91" i="18"/>
  <c r="K140" i="18"/>
  <c r="K156" i="18"/>
  <c r="K157" i="18" s="1"/>
  <c r="H156" i="18"/>
  <c r="H157" i="18" s="1"/>
  <c r="H140" i="18"/>
  <c r="P129" i="16"/>
  <c r="N129" i="16"/>
  <c r="H129" i="16"/>
  <c r="I129" i="16"/>
  <c r="G129" i="16"/>
  <c r="M129" i="16"/>
  <c r="K129" i="16"/>
  <c r="J126" i="17"/>
  <c r="L129" i="16"/>
  <c r="J129" i="16"/>
  <c r="M126" i="17"/>
  <c r="H126" i="17"/>
  <c r="P126" i="17"/>
  <c r="K126" i="17"/>
  <c r="O126" i="17"/>
  <c r="I126" i="17"/>
  <c r="G126" i="17"/>
  <c r="L126" i="17"/>
  <c r="E127" i="15"/>
  <c r="H127" i="15" s="1"/>
  <c r="E126" i="14"/>
  <c r="E79" i="17"/>
  <c r="E82" i="17" s="1"/>
  <c r="E86" i="17" s="1"/>
  <c r="E88" i="17" s="1"/>
  <c r="E152" i="17"/>
  <c r="K66" i="17"/>
  <c r="L66" i="17"/>
  <c r="J66" i="17"/>
  <c r="O137" i="17"/>
  <c r="K137" i="17"/>
  <c r="G137" i="17"/>
  <c r="G138" i="17" s="1"/>
  <c r="G155" i="17" s="1"/>
  <c r="G156" i="17" s="1"/>
  <c r="N137" i="17"/>
  <c r="J137" i="17"/>
  <c r="M137" i="17"/>
  <c r="I137" i="17"/>
  <c r="L137" i="17"/>
  <c r="H137" i="17"/>
  <c r="P137" i="17"/>
  <c r="O66" i="17"/>
  <c r="P66" i="17"/>
  <c r="N66" i="17"/>
  <c r="O148" i="17"/>
  <c r="O149" i="17" s="1"/>
  <c r="K148" i="17"/>
  <c r="K149" i="17" s="1"/>
  <c r="G148" i="17"/>
  <c r="G149" i="17" s="1"/>
  <c r="N148" i="17"/>
  <c r="N149" i="17" s="1"/>
  <c r="J148" i="17"/>
  <c r="J149" i="17" s="1"/>
  <c r="M148" i="17"/>
  <c r="M149" i="17" s="1"/>
  <c r="I148" i="17"/>
  <c r="I149" i="17" s="1"/>
  <c r="P148" i="17"/>
  <c r="P149" i="17" s="1"/>
  <c r="L148" i="17"/>
  <c r="L149" i="17" s="1"/>
  <c r="H148" i="17"/>
  <c r="H149" i="17" s="1"/>
  <c r="E128" i="17"/>
  <c r="E101" i="17"/>
  <c r="E102" i="17" s="1"/>
  <c r="H66" i="17"/>
  <c r="M66" i="17"/>
  <c r="G66" i="17"/>
  <c r="I66" i="17"/>
  <c r="G60" i="17"/>
  <c r="G62" i="17" s="1"/>
  <c r="H58" i="17"/>
  <c r="I29" i="55"/>
  <c r="I118" i="17" s="1"/>
  <c r="H121" i="16"/>
  <c r="I30" i="55"/>
  <c r="H122" i="16"/>
  <c r="O151" i="16"/>
  <c r="O152" i="16" s="1"/>
  <c r="K151" i="16"/>
  <c r="K152" i="16" s="1"/>
  <c r="G151" i="16"/>
  <c r="G152" i="16" s="1"/>
  <c r="N151" i="16"/>
  <c r="N152" i="16" s="1"/>
  <c r="J151" i="16"/>
  <c r="J152" i="16" s="1"/>
  <c r="M151" i="16"/>
  <c r="M152" i="16" s="1"/>
  <c r="I151" i="16"/>
  <c r="I152" i="16" s="1"/>
  <c r="P151" i="16"/>
  <c r="P152" i="16" s="1"/>
  <c r="L151" i="16"/>
  <c r="L152" i="16" s="1"/>
  <c r="H151" i="16"/>
  <c r="H152" i="16" s="1"/>
  <c r="G61" i="16"/>
  <c r="G63" i="16" s="1"/>
  <c r="H59" i="16"/>
  <c r="E155" i="16"/>
  <c r="E104" i="16"/>
  <c r="E105" i="16" s="1"/>
  <c r="E82" i="16"/>
  <c r="E85" i="16" s="1"/>
  <c r="E89" i="16" s="1"/>
  <c r="E91" i="16" s="1"/>
  <c r="M140" i="16"/>
  <c r="I140" i="16"/>
  <c r="P140" i="16"/>
  <c r="L140" i="16"/>
  <c r="H140" i="16"/>
  <c r="O140" i="16"/>
  <c r="K140" i="16"/>
  <c r="G140" i="16"/>
  <c r="G141" i="16" s="1"/>
  <c r="G158" i="16" s="1"/>
  <c r="G159" i="16" s="1"/>
  <c r="N140" i="16"/>
  <c r="J140" i="16"/>
  <c r="H119" i="15"/>
  <c r="H124" i="15" s="1"/>
  <c r="H145" i="15" s="1"/>
  <c r="H146" i="15" s="1"/>
  <c r="H120" i="15"/>
  <c r="G135" i="15"/>
  <c r="G124" i="15"/>
  <c r="G145" i="15" s="1"/>
  <c r="P62" i="15"/>
  <c r="P67" i="15" s="1"/>
  <c r="L62" i="15"/>
  <c r="L67" i="15" s="1"/>
  <c r="H62" i="15"/>
  <c r="H67" i="15" s="1"/>
  <c r="O62" i="15"/>
  <c r="O67" i="15" s="1"/>
  <c r="K62" i="15"/>
  <c r="K67" i="15" s="1"/>
  <c r="G62" i="15"/>
  <c r="G67" i="15" s="1"/>
  <c r="J62" i="15"/>
  <c r="J67" i="15" s="1"/>
  <c r="I62" i="15"/>
  <c r="I67" i="15" s="1"/>
  <c r="N62" i="15"/>
  <c r="N67" i="15" s="1"/>
  <c r="M62" i="15"/>
  <c r="M67" i="15" s="1"/>
  <c r="P65" i="15"/>
  <c r="L65" i="15"/>
  <c r="H65" i="15"/>
  <c r="N65" i="15"/>
  <c r="J65" i="15"/>
  <c r="O65" i="15"/>
  <c r="K65" i="15"/>
  <c r="G65" i="15"/>
  <c r="M65" i="15"/>
  <c r="I65" i="15"/>
  <c r="E138" i="15"/>
  <c r="E149" i="15" s="1"/>
  <c r="E91" i="15"/>
  <c r="G59" i="15"/>
  <c r="E99" i="15"/>
  <c r="E116" i="15"/>
  <c r="E78" i="15"/>
  <c r="E60" i="15"/>
  <c r="G60" i="15" s="1"/>
  <c r="H60" i="15" s="1"/>
  <c r="I60" i="15" s="1"/>
  <c r="J60" i="15" s="1"/>
  <c r="K60" i="15" s="1"/>
  <c r="L60" i="15" s="1"/>
  <c r="M60" i="15" s="1"/>
  <c r="N60" i="15" s="1"/>
  <c r="O60" i="15" s="1"/>
  <c r="P60" i="15" s="1"/>
  <c r="E82" i="15"/>
  <c r="O64" i="15"/>
  <c r="K64" i="15"/>
  <c r="G64" i="15"/>
  <c r="N64" i="15"/>
  <c r="J64" i="15"/>
  <c r="M64" i="15"/>
  <c r="P64" i="15"/>
  <c r="L64" i="15"/>
  <c r="I64" i="15"/>
  <c r="H64" i="15"/>
  <c r="E79" i="15"/>
  <c r="G136" i="15"/>
  <c r="H123" i="15"/>
  <c r="G123" i="15"/>
  <c r="G146" i="15"/>
  <c r="E115" i="14"/>
  <c r="E78" i="14"/>
  <c r="E77" i="14"/>
  <c r="E59" i="14"/>
  <c r="G61" i="14"/>
  <c r="I118" i="14"/>
  <c r="H118" i="14"/>
  <c r="H119" i="14"/>
  <c r="H31" i="55"/>
  <c r="H120" i="17" s="1"/>
  <c r="H134" i="17" s="1"/>
  <c r="H135" i="17" s="1"/>
  <c r="J58" i="18" l="1"/>
  <c r="I60" i="18"/>
  <c r="I62" i="18" s="1"/>
  <c r="H141" i="18"/>
  <c r="H65" i="18"/>
  <c r="I127" i="15"/>
  <c r="G127" i="15"/>
  <c r="P127" i="15"/>
  <c r="J127" i="15"/>
  <c r="O127" i="15"/>
  <c r="L127" i="15"/>
  <c r="N127" i="15"/>
  <c r="M127" i="15"/>
  <c r="K127" i="15"/>
  <c r="G66" i="14"/>
  <c r="I119" i="15"/>
  <c r="I123" i="15" s="1"/>
  <c r="I120" i="15"/>
  <c r="I119" i="17"/>
  <c r="H138" i="17"/>
  <c r="H139" i="17" s="1"/>
  <c r="I123" i="17"/>
  <c r="I144" i="17" s="1"/>
  <c r="I145" i="17" s="1"/>
  <c r="I122" i="17"/>
  <c r="G65" i="17"/>
  <c r="G140" i="17"/>
  <c r="I58" i="17"/>
  <c r="H60" i="17"/>
  <c r="H62" i="17" s="1"/>
  <c r="E91" i="17"/>
  <c r="E99" i="17"/>
  <c r="P128" i="17"/>
  <c r="L128" i="17"/>
  <c r="H128" i="17"/>
  <c r="H129" i="17" s="1"/>
  <c r="H130" i="17" s="1"/>
  <c r="H131" i="17" s="1"/>
  <c r="O128" i="17"/>
  <c r="K128" i="17"/>
  <c r="G128" i="17"/>
  <c r="G129" i="17" s="1"/>
  <c r="G130" i="17" s="1"/>
  <c r="G131" i="17" s="1"/>
  <c r="N128" i="17"/>
  <c r="J128" i="17"/>
  <c r="I128" i="17"/>
  <c r="M128" i="17"/>
  <c r="N152" i="17"/>
  <c r="N153" i="17" s="1"/>
  <c r="J152" i="17"/>
  <c r="J153" i="17" s="1"/>
  <c r="M152" i="17"/>
  <c r="M153" i="17" s="1"/>
  <c r="I152" i="17"/>
  <c r="I153" i="17" s="1"/>
  <c r="P152" i="17"/>
  <c r="P153" i="17" s="1"/>
  <c r="L152" i="17"/>
  <c r="L153" i="17" s="1"/>
  <c r="H152" i="17"/>
  <c r="H153" i="17" s="1"/>
  <c r="K152" i="17"/>
  <c r="K153" i="17" s="1"/>
  <c r="G152" i="17"/>
  <c r="G153" i="17" s="1"/>
  <c r="O152" i="17"/>
  <c r="O153" i="17" s="1"/>
  <c r="G66" i="16"/>
  <c r="G143" i="16"/>
  <c r="H126" i="16"/>
  <c r="H147" i="16" s="1"/>
  <c r="H148" i="16" s="1"/>
  <c r="H125" i="16"/>
  <c r="H121" i="15"/>
  <c r="H135" i="15" s="1"/>
  <c r="H136" i="15" s="1"/>
  <c r="H123" i="16"/>
  <c r="H137" i="16" s="1"/>
  <c r="H138" i="16" s="1"/>
  <c r="H141" i="16" s="1"/>
  <c r="H158" i="16" s="1"/>
  <c r="H159" i="16" s="1"/>
  <c r="J30" i="55"/>
  <c r="J119" i="17" s="1"/>
  <c r="I122" i="16"/>
  <c r="I119" i="14"/>
  <c r="I124" i="15"/>
  <c r="I145" i="15" s="1"/>
  <c r="I146" i="15" s="1"/>
  <c r="J29" i="55"/>
  <c r="J118" i="17" s="1"/>
  <c r="I121" i="16"/>
  <c r="E102" i="16"/>
  <c r="E131" i="16" s="1"/>
  <c r="I131" i="16" s="1"/>
  <c r="E94" i="16"/>
  <c r="N155" i="16"/>
  <c r="N156" i="16" s="1"/>
  <c r="J155" i="16"/>
  <c r="J156" i="16" s="1"/>
  <c r="M155" i="16"/>
  <c r="M156" i="16" s="1"/>
  <c r="I155" i="16"/>
  <c r="I156" i="16" s="1"/>
  <c r="P155" i="16"/>
  <c r="P156" i="16" s="1"/>
  <c r="L155" i="16"/>
  <c r="L156" i="16" s="1"/>
  <c r="H155" i="16"/>
  <c r="H156" i="16" s="1"/>
  <c r="K155" i="16"/>
  <c r="K156" i="16" s="1"/>
  <c r="G155" i="16"/>
  <c r="G156" i="16" s="1"/>
  <c r="O155" i="16"/>
  <c r="O156" i="16" s="1"/>
  <c r="I59" i="16"/>
  <c r="H61" i="16"/>
  <c r="H63" i="16" s="1"/>
  <c r="E80" i="15"/>
  <c r="E83" i="15" s="1"/>
  <c r="E87" i="15" s="1"/>
  <c r="E89" i="15" s="1"/>
  <c r="G61" i="15"/>
  <c r="G63" i="15" s="1"/>
  <c r="H59" i="15"/>
  <c r="O149" i="15"/>
  <c r="O150" i="15" s="1"/>
  <c r="K149" i="15"/>
  <c r="K150" i="15" s="1"/>
  <c r="G149" i="15"/>
  <c r="G150" i="15" s="1"/>
  <c r="N149" i="15"/>
  <c r="N150" i="15" s="1"/>
  <c r="J149" i="15"/>
  <c r="J150" i="15" s="1"/>
  <c r="M149" i="15"/>
  <c r="M150" i="15" s="1"/>
  <c r="I149" i="15"/>
  <c r="I150" i="15" s="1"/>
  <c r="P149" i="15"/>
  <c r="P150" i="15" s="1"/>
  <c r="L149" i="15"/>
  <c r="L150" i="15" s="1"/>
  <c r="H149" i="15"/>
  <c r="H150" i="15" s="1"/>
  <c r="E153" i="15"/>
  <c r="E129" i="15"/>
  <c r="E102" i="15"/>
  <c r="E103" i="15" s="1"/>
  <c r="M138" i="15"/>
  <c r="I138" i="15"/>
  <c r="P138" i="15"/>
  <c r="L138" i="15"/>
  <c r="H138" i="15"/>
  <c r="O138" i="15"/>
  <c r="K138" i="15"/>
  <c r="G138" i="15"/>
  <c r="G139" i="15" s="1"/>
  <c r="G156" i="15" s="1"/>
  <c r="G157" i="15" s="1"/>
  <c r="N138" i="15"/>
  <c r="J138" i="15"/>
  <c r="E79" i="14"/>
  <c r="I31" i="55"/>
  <c r="I120" i="17" s="1"/>
  <c r="I134" i="17" s="1"/>
  <c r="I135" i="17" s="1"/>
  <c r="I138" i="17" s="1"/>
  <c r="H120" i="14"/>
  <c r="I65" i="18" l="1"/>
  <c r="I141" i="18"/>
  <c r="J60" i="18"/>
  <c r="J62" i="18" s="1"/>
  <c r="K58" i="18"/>
  <c r="N131" i="16"/>
  <c r="K131" i="16"/>
  <c r="P131" i="16"/>
  <c r="H131" i="16"/>
  <c r="H132" i="16" s="1"/>
  <c r="H133" i="16" s="1"/>
  <c r="H134" i="16" s="1"/>
  <c r="M131" i="16"/>
  <c r="G131" i="16"/>
  <c r="G132" i="16" s="1"/>
  <c r="G133" i="16" s="1"/>
  <c r="G134" i="16" s="1"/>
  <c r="L131" i="16"/>
  <c r="J131" i="16"/>
  <c r="O131" i="16"/>
  <c r="H155" i="17"/>
  <c r="H156" i="17" s="1"/>
  <c r="I139" i="17"/>
  <c r="I155" i="17"/>
  <c r="I156" i="17" s="1"/>
  <c r="J123" i="17"/>
  <c r="J144" i="17" s="1"/>
  <c r="J145" i="17" s="1"/>
  <c r="J122" i="17"/>
  <c r="I129" i="17"/>
  <c r="I130" i="17" s="1"/>
  <c r="I131" i="17" s="1"/>
  <c r="J129" i="17"/>
  <c r="J130" i="17" s="1"/>
  <c r="J131" i="17" s="1"/>
  <c r="I60" i="17"/>
  <c r="I62" i="17" s="1"/>
  <c r="J58" i="17"/>
  <c r="H65" i="17"/>
  <c r="H140" i="17"/>
  <c r="H66" i="16"/>
  <c r="H143" i="16"/>
  <c r="G66" i="15"/>
  <c r="G141" i="15"/>
  <c r="H142" i="16"/>
  <c r="I125" i="16"/>
  <c r="I126" i="16"/>
  <c r="I147" i="16" s="1"/>
  <c r="I148" i="16" s="1"/>
  <c r="K30" i="55"/>
  <c r="K119" i="17" s="1"/>
  <c r="K129" i="17" s="1"/>
  <c r="K130" i="17" s="1"/>
  <c r="K131" i="17" s="1"/>
  <c r="J122" i="16"/>
  <c r="J120" i="15"/>
  <c r="J119" i="14"/>
  <c r="K29" i="55"/>
  <c r="K118" i="17" s="1"/>
  <c r="J121" i="16"/>
  <c r="J119" i="15"/>
  <c r="J118" i="14"/>
  <c r="H139" i="15"/>
  <c r="H140" i="15" s="1"/>
  <c r="I121" i="15"/>
  <c r="I135" i="15" s="1"/>
  <c r="I136" i="15" s="1"/>
  <c r="I139" i="15" s="1"/>
  <c r="I156" i="15" s="1"/>
  <c r="I157" i="15" s="1"/>
  <c r="I123" i="16"/>
  <c r="I137" i="16" s="1"/>
  <c r="I138" i="16" s="1"/>
  <c r="I141" i="16" s="1"/>
  <c r="I132" i="16"/>
  <c r="I133" i="16" s="1"/>
  <c r="I134" i="16" s="1"/>
  <c r="I61" i="16"/>
  <c r="I63" i="16" s="1"/>
  <c r="J59" i="16"/>
  <c r="E100" i="15"/>
  <c r="E92" i="15"/>
  <c r="I59" i="15"/>
  <c r="H61" i="15"/>
  <c r="H63" i="15" s="1"/>
  <c r="N129" i="15"/>
  <c r="J129" i="15"/>
  <c r="M129" i="15"/>
  <c r="I129" i="15"/>
  <c r="I130" i="15" s="1"/>
  <c r="I131" i="15" s="1"/>
  <c r="I132" i="15" s="1"/>
  <c r="P129" i="15"/>
  <c r="L129" i="15"/>
  <c r="H129" i="15"/>
  <c r="H130" i="15" s="1"/>
  <c r="H131" i="15" s="1"/>
  <c r="H132" i="15" s="1"/>
  <c r="K129" i="15"/>
  <c r="O129" i="15"/>
  <c r="G129" i="15"/>
  <c r="G130" i="15" s="1"/>
  <c r="G131" i="15" s="1"/>
  <c r="G132" i="15" s="1"/>
  <c r="H156" i="15"/>
  <c r="H157" i="15" s="1"/>
  <c r="N153" i="15"/>
  <c r="N154" i="15" s="1"/>
  <c r="J153" i="15"/>
  <c r="J154" i="15" s="1"/>
  <c r="M153" i="15"/>
  <c r="M154" i="15" s="1"/>
  <c r="I153" i="15"/>
  <c r="I154" i="15" s="1"/>
  <c r="P153" i="15"/>
  <c r="P154" i="15" s="1"/>
  <c r="L153" i="15"/>
  <c r="L154" i="15" s="1"/>
  <c r="H153" i="15"/>
  <c r="H154" i="15" s="1"/>
  <c r="K153" i="15"/>
  <c r="K154" i="15" s="1"/>
  <c r="G153" i="15"/>
  <c r="G154" i="15" s="1"/>
  <c r="O153" i="15"/>
  <c r="O154" i="15" s="1"/>
  <c r="J31" i="55"/>
  <c r="J120" i="17" s="1"/>
  <c r="J134" i="17" s="1"/>
  <c r="J135" i="17" s="1"/>
  <c r="J138" i="17" s="1"/>
  <c r="I120" i="14"/>
  <c r="K60" i="18" l="1"/>
  <c r="K62" i="18" s="1"/>
  <c r="L58" i="18"/>
  <c r="J141" i="18"/>
  <c r="J65" i="18"/>
  <c r="J132" i="16"/>
  <c r="J133" i="16" s="1"/>
  <c r="J134" i="16" s="1"/>
  <c r="J130" i="15"/>
  <c r="J131" i="15" s="1"/>
  <c r="J132" i="15" s="1"/>
  <c r="K123" i="17"/>
  <c r="K144" i="17" s="1"/>
  <c r="K145" i="17" s="1"/>
  <c r="K122" i="17"/>
  <c r="J139" i="17"/>
  <c r="J155" i="17"/>
  <c r="J156" i="17" s="1"/>
  <c r="K58" i="17"/>
  <c r="J60" i="17"/>
  <c r="J62" i="17" s="1"/>
  <c r="I140" i="17"/>
  <c r="I65" i="17"/>
  <c r="I66" i="16"/>
  <c r="I143" i="16"/>
  <c r="H66" i="15"/>
  <c r="H141" i="15"/>
  <c r="I158" i="16"/>
  <c r="I159" i="16" s="1"/>
  <c r="I142" i="16"/>
  <c r="L29" i="55"/>
  <c r="L118" i="17" s="1"/>
  <c r="K121" i="16"/>
  <c r="K119" i="15"/>
  <c r="K118" i="14"/>
  <c r="L30" i="55"/>
  <c r="L119" i="17" s="1"/>
  <c r="L129" i="17" s="1"/>
  <c r="L130" i="17" s="1"/>
  <c r="L131" i="17" s="1"/>
  <c r="K122" i="16"/>
  <c r="K132" i="16" s="1"/>
  <c r="K133" i="16" s="1"/>
  <c r="K134" i="16" s="1"/>
  <c r="K120" i="15"/>
  <c r="K130" i="15" s="1"/>
  <c r="K131" i="15" s="1"/>
  <c r="K132" i="15" s="1"/>
  <c r="K119" i="14"/>
  <c r="J123" i="15"/>
  <c r="J124" i="15"/>
  <c r="J145" i="15" s="1"/>
  <c r="J146" i="15" s="1"/>
  <c r="J121" i="15"/>
  <c r="J135" i="15" s="1"/>
  <c r="J136" i="15" s="1"/>
  <c r="J139" i="15" s="1"/>
  <c r="J156" i="15" s="1"/>
  <c r="J157" i="15" s="1"/>
  <c r="J123" i="16"/>
  <c r="J137" i="16" s="1"/>
  <c r="J138" i="16" s="1"/>
  <c r="J141" i="16" s="1"/>
  <c r="J125" i="16"/>
  <c r="J126" i="16"/>
  <c r="J147" i="16" s="1"/>
  <c r="J148" i="16" s="1"/>
  <c r="I140" i="15"/>
  <c r="J61" i="16"/>
  <c r="J63" i="16" s="1"/>
  <c r="K59" i="16"/>
  <c r="J59" i="15"/>
  <c r="I61" i="15"/>
  <c r="I63" i="15" s="1"/>
  <c r="K31" i="55"/>
  <c r="K120" i="17" s="1"/>
  <c r="K134" i="17" s="1"/>
  <c r="K135" i="17" s="1"/>
  <c r="K138" i="17" s="1"/>
  <c r="J120" i="14"/>
  <c r="L60" i="18" l="1"/>
  <c r="L62" i="18" s="1"/>
  <c r="M58" i="18"/>
  <c r="K65" i="18"/>
  <c r="K141" i="18"/>
  <c r="K139" i="17"/>
  <c r="K155" i="17"/>
  <c r="K156" i="17" s="1"/>
  <c r="L122" i="17"/>
  <c r="L123" i="17"/>
  <c r="L144" i="17" s="1"/>
  <c r="L145" i="17" s="1"/>
  <c r="J140" i="17"/>
  <c r="J65" i="17"/>
  <c r="K60" i="17"/>
  <c r="K62" i="17" s="1"/>
  <c r="L58" i="17"/>
  <c r="J66" i="16"/>
  <c r="J143" i="16"/>
  <c r="I66" i="15"/>
  <c r="I141" i="15"/>
  <c r="J140" i="15"/>
  <c r="M30" i="55"/>
  <c r="M119" i="17" s="1"/>
  <c r="M129" i="17" s="1"/>
  <c r="M130" i="17" s="1"/>
  <c r="M131" i="17" s="1"/>
  <c r="L122" i="16"/>
  <c r="L132" i="16" s="1"/>
  <c r="L133" i="16" s="1"/>
  <c r="L134" i="16" s="1"/>
  <c r="L120" i="15"/>
  <c r="L130" i="15" s="1"/>
  <c r="L131" i="15" s="1"/>
  <c r="L132" i="15" s="1"/>
  <c r="L119" i="14"/>
  <c r="K124" i="15"/>
  <c r="K145" i="15" s="1"/>
  <c r="K146" i="15" s="1"/>
  <c r="K123" i="15"/>
  <c r="K126" i="16"/>
  <c r="K147" i="16" s="1"/>
  <c r="K148" i="16" s="1"/>
  <c r="K125" i="16"/>
  <c r="K121" i="15"/>
  <c r="K135" i="15" s="1"/>
  <c r="K136" i="15" s="1"/>
  <c r="K139" i="15" s="1"/>
  <c r="K140" i="15" s="1"/>
  <c r="K123" i="16"/>
  <c r="K137" i="16" s="1"/>
  <c r="K138" i="16" s="1"/>
  <c r="K141" i="16" s="1"/>
  <c r="J158" i="16"/>
  <c r="J159" i="16" s="1"/>
  <c r="J142" i="16"/>
  <c r="M29" i="55"/>
  <c r="M118" i="17" s="1"/>
  <c r="L121" i="16"/>
  <c r="L119" i="15"/>
  <c r="L118" i="14"/>
  <c r="K61" i="16"/>
  <c r="K63" i="16" s="1"/>
  <c r="L59" i="16"/>
  <c r="J61" i="15"/>
  <c r="J63" i="15" s="1"/>
  <c r="K59" i="15"/>
  <c r="L31" i="55"/>
  <c r="L120" i="17" s="1"/>
  <c r="L134" i="17" s="1"/>
  <c r="L135" i="17" s="1"/>
  <c r="L138" i="17" s="1"/>
  <c r="K120" i="14"/>
  <c r="N58" i="18" l="1"/>
  <c r="M60" i="18"/>
  <c r="M62" i="18" s="1"/>
  <c r="L141" i="18"/>
  <c r="L65" i="18"/>
  <c r="M123" i="17"/>
  <c r="M144" i="17" s="1"/>
  <c r="M145" i="17" s="1"/>
  <c r="M122" i="17"/>
  <c r="L155" i="17"/>
  <c r="L156" i="17" s="1"/>
  <c r="L139" i="17"/>
  <c r="L60" i="17"/>
  <c r="L62" i="17" s="1"/>
  <c r="M58" i="17"/>
  <c r="K65" i="17"/>
  <c r="K140" i="17"/>
  <c r="K66" i="16"/>
  <c r="K143" i="16"/>
  <c r="J66" i="15"/>
  <c r="J141" i="15"/>
  <c r="K156" i="15"/>
  <c r="K157" i="15" s="1"/>
  <c r="L124" i="15"/>
  <c r="L145" i="15" s="1"/>
  <c r="L146" i="15" s="1"/>
  <c r="L123" i="15"/>
  <c r="L125" i="16"/>
  <c r="L126" i="16"/>
  <c r="L147" i="16" s="1"/>
  <c r="L148" i="16" s="1"/>
  <c r="K142" i="16"/>
  <c r="K158" i="16"/>
  <c r="K159" i="16" s="1"/>
  <c r="L121" i="15"/>
  <c r="L135" i="15" s="1"/>
  <c r="L136" i="15" s="1"/>
  <c r="L139" i="15" s="1"/>
  <c r="L140" i="15" s="1"/>
  <c r="L123" i="16"/>
  <c r="L137" i="16" s="1"/>
  <c r="L138" i="16" s="1"/>
  <c r="L141" i="16" s="1"/>
  <c r="N29" i="55"/>
  <c r="N118" i="17" s="1"/>
  <c r="M121" i="16"/>
  <c r="M118" i="14"/>
  <c r="M119" i="15"/>
  <c r="N30" i="55"/>
  <c r="N119" i="17" s="1"/>
  <c r="N129" i="17" s="1"/>
  <c r="N130" i="17" s="1"/>
  <c r="N131" i="17" s="1"/>
  <c r="M122" i="16"/>
  <c r="M132" i="16" s="1"/>
  <c r="M133" i="16" s="1"/>
  <c r="M134" i="16" s="1"/>
  <c r="M120" i="15"/>
  <c r="M130" i="15" s="1"/>
  <c r="M131" i="15" s="1"/>
  <c r="M132" i="15" s="1"/>
  <c r="M119" i="14"/>
  <c r="M59" i="16"/>
  <c r="L61" i="16"/>
  <c r="L63" i="16" s="1"/>
  <c r="K61" i="15"/>
  <c r="K63" i="15" s="1"/>
  <c r="L59" i="15"/>
  <c r="M31" i="55"/>
  <c r="M120" i="17" s="1"/>
  <c r="M134" i="17" s="1"/>
  <c r="M135" i="17" s="1"/>
  <c r="M138" i="17" s="1"/>
  <c r="L120" i="14"/>
  <c r="M65" i="18" l="1"/>
  <c r="M141" i="18"/>
  <c r="N60" i="18"/>
  <c r="N62" i="18" s="1"/>
  <c r="O58" i="18"/>
  <c r="M139" i="17"/>
  <c r="M155" i="17"/>
  <c r="M156" i="17" s="1"/>
  <c r="N123" i="17"/>
  <c r="N144" i="17" s="1"/>
  <c r="N145" i="17" s="1"/>
  <c r="N122" i="17"/>
  <c r="M60" i="17"/>
  <c r="M62" i="17" s="1"/>
  <c r="N58" i="17"/>
  <c r="L65" i="17"/>
  <c r="L140" i="17"/>
  <c r="L66" i="16"/>
  <c r="L143" i="16"/>
  <c r="L156" i="15"/>
  <c r="L157" i="15" s="1"/>
  <c r="K66" i="15"/>
  <c r="K141" i="15"/>
  <c r="M125" i="16"/>
  <c r="M126" i="16"/>
  <c r="M147" i="16" s="1"/>
  <c r="M148" i="16" s="1"/>
  <c r="O30" i="55"/>
  <c r="O119" i="17" s="1"/>
  <c r="O129" i="17" s="1"/>
  <c r="O130" i="17" s="1"/>
  <c r="O131" i="17" s="1"/>
  <c r="N122" i="16"/>
  <c r="N132" i="16" s="1"/>
  <c r="N133" i="16" s="1"/>
  <c r="N134" i="16" s="1"/>
  <c r="N119" i="14"/>
  <c r="N120" i="15"/>
  <c r="N130" i="15" s="1"/>
  <c r="N131" i="15" s="1"/>
  <c r="N132" i="15" s="1"/>
  <c r="O29" i="55"/>
  <c r="O118" i="17" s="1"/>
  <c r="N121" i="16"/>
  <c r="N119" i="15"/>
  <c r="N118" i="14"/>
  <c r="M124" i="15"/>
  <c r="M145" i="15" s="1"/>
  <c r="M146" i="15" s="1"/>
  <c r="M123" i="15"/>
  <c r="L158" i="16"/>
  <c r="L159" i="16" s="1"/>
  <c r="L142" i="16"/>
  <c r="M121" i="15"/>
  <c r="M135" i="15" s="1"/>
  <c r="M136" i="15" s="1"/>
  <c r="M139" i="15" s="1"/>
  <c r="M156" i="15" s="1"/>
  <c r="M157" i="15" s="1"/>
  <c r="M123" i="16"/>
  <c r="M137" i="16" s="1"/>
  <c r="M138" i="16" s="1"/>
  <c r="M141" i="16" s="1"/>
  <c r="N59" i="16"/>
  <c r="M61" i="16"/>
  <c r="M63" i="16" s="1"/>
  <c r="M59" i="15"/>
  <c r="L61" i="15"/>
  <c r="L63" i="15" s="1"/>
  <c r="N31" i="55"/>
  <c r="N120" i="17" s="1"/>
  <c r="N134" i="17" s="1"/>
  <c r="N135" i="17" s="1"/>
  <c r="N138" i="17" s="1"/>
  <c r="M120" i="14"/>
  <c r="O60" i="18" l="1"/>
  <c r="O62" i="18" s="1"/>
  <c r="P58" i="18"/>
  <c r="P60" i="18" s="1"/>
  <c r="P62" i="18" s="1"/>
  <c r="N65" i="18"/>
  <c r="N141" i="18"/>
  <c r="O122" i="17"/>
  <c r="O123" i="17"/>
  <c r="O144" i="17" s="1"/>
  <c r="O145" i="17" s="1"/>
  <c r="N155" i="17"/>
  <c r="N156" i="17" s="1"/>
  <c r="N139" i="17"/>
  <c r="O58" i="17"/>
  <c r="N60" i="17"/>
  <c r="N62" i="17" s="1"/>
  <c r="M140" i="17"/>
  <c r="M65" i="17"/>
  <c r="M66" i="16"/>
  <c r="M143" i="16"/>
  <c r="L66" i="15"/>
  <c r="L141" i="15"/>
  <c r="M142" i="16"/>
  <c r="M158" i="16"/>
  <c r="M159" i="16" s="1"/>
  <c r="N125" i="16"/>
  <c r="N126" i="16"/>
  <c r="N147" i="16" s="1"/>
  <c r="N148" i="16" s="1"/>
  <c r="P29" i="55"/>
  <c r="P118" i="17" s="1"/>
  <c r="O121" i="16"/>
  <c r="O119" i="15"/>
  <c r="O118" i="14"/>
  <c r="P30" i="55"/>
  <c r="P119" i="17" s="1"/>
  <c r="P129" i="17" s="1"/>
  <c r="P130" i="17" s="1"/>
  <c r="P131" i="17" s="1"/>
  <c r="O122" i="16"/>
  <c r="O132" i="16" s="1"/>
  <c r="O133" i="16" s="1"/>
  <c r="O134" i="16" s="1"/>
  <c r="O119" i="14"/>
  <c r="O120" i="15"/>
  <c r="O130" i="15" s="1"/>
  <c r="O131" i="15" s="1"/>
  <c r="O132" i="15" s="1"/>
  <c r="M140" i="15"/>
  <c r="N121" i="15"/>
  <c r="N135" i="15" s="1"/>
  <c r="N136" i="15" s="1"/>
  <c r="N139" i="15" s="1"/>
  <c r="N140" i="15" s="1"/>
  <c r="N123" i="16"/>
  <c r="N137" i="16" s="1"/>
  <c r="N138" i="16" s="1"/>
  <c r="N141" i="16" s="1"/>
  <c r="N123" i="15"/>
  <c r="N124" i="15"/>
  <c r="N145" i="15" s="1"/>
  <c r="N146" i="15" s="1"/>
  <c r="N61" i="16"/>
  <c r="N63" i="16" s="1"/>
  <c r="O59" i="16"/>
  <c r="M61" i="15"/>
  <c r="M63" i="15" s="1"/>
  <c r="N59" i="15"/>
  <c r="O31" i="55"/>
  <c r="O120" i="17" s="1"/>
  <c r="O134" i="17" s="1"/>
  <c r="O135" i="17" s="1"/>
  <c r="O138" i="17" s="1"/>
  <c r="N120" i="14"/>
  <c r="P141" i="18" l="1"/>
  <c r="P65" i="18"/>
  <c r="O65" i="18"/>
  <c r="O141" i="18"/>
  <c r="O139" i="17"/>
  <c r="O155" i="17"/>
  <c r="O156" i="17" s="1"/>
  <c r="P122" i="17"/>
  <c r="P123" i="17"/>
  <c r="P144" i="17" s="1"/>
  <c r="P145" i="17" s="1"/>
  <c r="N140" i="17"/>
  <c r="N65" i="17"/>
  <c r="O60" i="17"/>
  <c r="O62" i="17" s="1"/>
  <c r="P58" i="17"/>
  <c r="P60" i="17" s="1"/>
  <c r="P62" i="17" s="1"/>
  <c r="N66" i="16"/>
  <c r="N143" i="16"/>
  <c r="M66" i="15"/>
  <c r="M141" i="15"/>
  <c r="N156" i="15"/>
  <c r="N157" i="15" s="1"/>
  <c r="O123" i="15"/>
  <c r="O124" i="15"/>
  <c r="O145" i="15" s="1"/>
  <c r="O146" i="15" s="1"/>
  <c r="O121" i="15"/>
  <c r="O135" i="15" s="1"/>
  <c r="O136" i="15" s="1"/>
  <c r="O139" i="15" s="1"/>
  <c r="O156" i="15" s="1"/>
  <c r="O157" i="15" s="1"/>
  <c r="O123" i="16"/>
  <c r="O137" i="16" s="1"/>
  <c r="O138" i="16" s="1"/>
  <c r="O141" i="16" s="1"/>
  <c r="O125" i="16"/>
  <c r="O126" i="16"/>
  <c r="O147" i="16" s="1"/>
  <c r="O148" i="16" s="1"/>
  <c r="N142" i="16"/>
  <c r="N158" i="16"/>
  <c r="N159" i="16" s="1"/>
  <c r="P119" i="14"/>
  <c r="P122" i="16"/>
  <c r="P132" i="16" s="1"/>
  <c r="P133" i="16" s="1"/>
  <c r="P134" i="16" s="1"/>
  <c r="P120" i="15"/>
  <c r="P130" i="15" s="1"/>
  <c r="P131" i="15" s="1"/>
  <c r="P132" i="15" s="1"/>
  <c r="P118" i="14"/>
  <c r="P121" i="16"/>
  <c r="P119" i="15"/>
  <c r="O61" i="16"/>
  <c r="O63" i="16" s="1"/>
  <c r="P59" i="16"/>
  <c r="P61" i="16" s="1"/>
  <c r="P63" i="16" s="1"/>
  <c r="N61" i="15"/>
  <c r="N63" i="15" s="1"/>
  <c r="O59" i="15"/>
  <c r="P31" i="55"/>
  <c r="O120" i="14"/>
  <c r="P123" i="16" l="1"/>
  <c r="P137" i="16" s="1"/>
  <c r="P138" i="16" s="1"/>
  <c r="P141" i="16" s="1"/>
  <c r="P142" i="16" s="1"/>
  <c r="P120" i="17"/>
  <c r="P134" i="17" s="1"/>
  <c r="P135" i="17" s="1"/>
  <c r="P138" i="17" s="1"/>
  <c r="P65" i="17"/>
  <c r="P140" i="17"/>
  <c r="O65" i="17"/>
  <c r="O140" i="17"/>
  <c r="P66" i="16"/>
  <c r="P143" i="16"/>
  <c r="O66" i="16"/>
  <c r="O143" i="16"/>
  <c r="N66" i="15"/>
  <c r="N141" i="15"/>
  <c r="O140" i="15"/>
  <c r="P125" i="16"/>
  <c r="P126" i="16"/>
  <c r="P147" i="16" s="1"/>
  <c r="P148" i="16" s="1"/>
  <c r="O158" i="16"/>
  <c r="O159" i="16" s="1"/>
  <c r="O142" i="16"/>
  <c r="P124" i="15"/>
  <c r="P145" i="15" s="1"/>
  <c r="P146" i="15" s="1"/>
  <c r="P123" i="15"/>
  <c r="P120" i="14"/>
  <c r="P121" i="15"/>
  <c r="P135" i="15" s="1"/>
  <c r="P136" i="15" s="1"/>
  <c r="P139" i="15" s="1"/>
  <c r="O61" i="15"/>
  <c r="O63" i="15" s="1"/>
  <c r="P59" i="15"/>
  <c r="P61" i="15" s="1"/>
  <c r="P63" i="15" s="1"/>
  <c r="P158" i="16" l="1"/>
  <c r="P159" i="16" s="1"/>
  <c r="P139" i="17"/>
  <c r="P155" i="17"/>
  <c r="P156" i="17" s="1"/>
  <c r="P66" i="15"/>
  <c r="P141" i="15"/>
  <c r="O66" i="15"/>
  <c r="O141" i="15"/>
  <c r="P156" i="15"/>
  <c r="P157" i="15" s="1"/>
  <c r="P140" i="15"/>
  <c r="G133" i="14" l="1"/>
  <c r="E90" i="14" l="1"/>
  <c r="H147" i="14"/>
  <c r="I147" i="14"/>
  <c r="J147" i="14"/>
  <c r="K147" i="14"/>
  <c r="L147" i="14"/>
  <c r="M147" i="14"/>
  <c r="N147" i="14"/>
  <c r="O147" i="14"/>
  <c r="P147" i="14"/>
  <c r="G147" i="14"/>
  <c r="E148" i="14"/>
  <c r="H143" i="14"/>
  <c r="I143" i="14"/>
  <c r="J143" i="14"/>
  <c r="K143" i="14"/>
  <c r="L143" i="14"/>
  <c r="M143" i="14"/>
  <c r="N143" i="14"/>
  <c r="O143" i="14"/>
  <c r="P143" i="14"/>
  <c r="G143" i="14"/>
  <c r="H127" i="14"/>
  <c r="I127" i="14"/>
  <c r="J127" i="14"/>
  <c r="K127" i="14"/>
  <c r="L127" i="14"/>
  <c r="M127" i="14"/>
  <c r="N127" i="14"/>
  <c r="O127" i="14"/>
  <c r="P127" i="14"/>
  <c r="G127" i="14"/>
  <c r="E96" i="14"/>
  <c r="E137" i="14"/>
  <c r="E134" i="14"/>
  <c r="E133" i="14"/>
  <c r="E123" i="14"/>
  <c r="E122" i="14"/>
  <c r="G122" i="14" l="1"/>
  <c r="I122" i="14"/>
  <c r="H122" i="14"/>
  <c r="J122" i="14"/>
  <c r="K122" i="14"/>
  <c r="L122" i="14"/>
  <c r="M122" i="14"/>
  <c r="N122" i="14"/>
  <c r="O122" i="14"/>
  <c r="P122" i="14"/>
  <c r="G134" i="14"/>
  <c r="H134" i="14"/>
  <c r="I134" i="14"/>
  <c r="J134" i="14"/>
  <c r="K134" i="14"/>
  <c r="L134" i="14"/>
  <c r="M134" i="14"/>
  <c r="N134" i="14"/>
  <c r="O134" i="14"/>
  <c r="P134" i="14"/>
  <c r="G123" i="14"/>
  <c r="I123" i="14"/>
  <c r="H123" i="14"/>
  <c r="H144" i="14" s="1"/>
  <c r="H145" i="14" s="1"/>
  <c r="J123" i="14"/>
  <c r="J144" i="14" s="1"/>
  <c r="J145" i="14" s="1"/>
  <c r="K123" i="14"/>
  <c r="L123" i="14"/>
  <c r="M123" i="14"/>
  <c r="M144" i="14" s="1"/>
  <c r="M145" i="14" s="1"/>
  <c r="N123" i="14"/>
  <c r="N144" i="14" s="1"/>
  <c r="N145" i="14" s="1"/>
  <c r="O123" i="14"/>
  <c r="P123" i="14"/>
  <c r="K126" i="14"/>
  <c r="O126" i="14"/>
  <c r="J126" i="14"/>
  <c r="H126" i="14"/>
  <c r="L126" i="14"/>
  <c r="P126" i="14"/>
  <c r="N126" i="14"/>
  <c r="I126" i="14"/>
  <c r="M126" i="14"/>
  <c r="G126" i="14"/>
  <c r="I148" i="14"/>
  <c r="I149" i="14" s="1"/>
  <c r="M148" i="14"/>
  <c r="M149" i="14" s="1"/>
  <c r="J148" i="14"/>
  <c r="J149" i="14" s="1"/>
  <c r="N148" i="14"/>
  <c r="N149" i="14" s="1"/>
  <c r="K148" i="14"/>
  <c r="K149" i="14" s="1"/>
  <c r="O148" i="14"/>
  <c r="H148" i="14"/>
  <c r="H149" i="14" s="1"/>
  <c r="L148" i="14"/>
  <c r="L149" i="14" s="1"/>
  <c r="P148" i="14"/>
  <c r="P149" i="14" s="1"/>
  <c r="G148" i="14"/>
  <c r="G149" i="14" s="1"/>
  <c r="I137" i="14"/>
  <c r="M137" i="14"/>
  <c r="J137" i="14"/>
  <c r="N137" i="14"/>
  <c r="K137" i="14"/>
  <c r="O137" i="14"/>
  <c r="H137" i="14"/>
  <c r="L137" i="14"/>
  <c r="P137" i="14"/>
  <c r="G137" i="14"/>
  <c r="E98" i="14"/>
  <c r="E128" i="14" s="1"/>
  <c r="O149" i="14"/>
  <c r="O144" i="14"/>
  <c r="O145" i="14" s="1"/>
  <c r="K144" i="14"/>
  <c r="K145" i="14" s="1"/>
  <c r="I144" i="14"/>
  <c r="I145" i="14" s="1"/>
  <c r="P144" i="14"/>
  <c r="P145" i="14" s="1"/>
  <c r="L144" i="14"/>
  <c r="L145" i="14" s="1"/>
  <c r="G144" i="14"/>
  <c r="G145" i="14" s="1"/>
  <c r="E72" i="14"/>
  <c r="H64" i="14"/>
  <c r="I64" i="14"/>
  <c r="J64" i="14"/>
  <c r="K64" i="14"/>
  <c r="L64" i="14"/>
  <c r="M64" i="14"/>
  <c r="N64" i="14"/>
  <c r="O64" i="14"/>
  <c r="P64" i="14"/>
  <c r="G64" i="14"/>
  <c r="H63" i="14"/>
  <c r="I63" i="14"/>
  <c r="J63" i="14"/>
  <c r="K63" i="14"/>
  <c r="L63" i="14"/>
  <c r="M63" i="14"/>
  <c r="N63" i="14"/>
  <c r="O63" i="14"/>
  <c r="P63" i="14"/>
  <c r="G63" i="14"/>
  <c r="H61" i="14"/>
  <c r="H66" i="14" s="1"/>
  <c r="I61" i="14"/>
  <c r="I66" i="14" s="1"/>
  <c r="J61" i="14"/>
  <c r="J66" i="14" s="1"/>
  <c r="K61" i="14"/>
  <c r="K66" i="14" s="1"/>
  <c r="L61" i="14"/>
  <c r="L66" i="14" s="1"/>
  <c r="M61" i="14"/>
  <c r="M66" i="14" s="1"/>
  <c r="N61" i="14"/>
  <c r="N66" i="14" s="1"/>
  <c r="O61" i="14"/>
  <c r="O66" i="14" s="1"/>
  <c r="P61" i="14"/>
  <c r="P66" i="14" s="1"/>
  <c r="G59" i="14"/>
  <c r="H59" i="14" s="1"/>
  <c r="I59" i="14" s="1"/>
  <c r="J59" i="14" s="1"/>
  <c r="K59" i="14" s="1"/>
  <c r="L59" i="14" s="1"/>
  <c r="M59" i="14" s="1"/>
  <c r="N59" i="14" s="1"/>
  <c r="O59" i="14" s="1"/>
  <c r="P59" i="14" s="1"/>
  <c r="G58" i="14"/>
  <c r="E81" i="14"/>
  <c r="G128" i="14" l="1"/>
  <c r="G129" i="14" s="1"/>
  <c r="G130" i="14" s="1"/>
  <c r="G131" i="14" s="1"/>
  <c r="E101" i="14"/>
  <c r="E102" i="14" s="1"/>
  <c r="E82" i="14"/>
  <c r="E152" i="14"/>
  <c r="P128" i="14"/>
  <c r="P129" i="14" s="1"/>
  <c r="P130" i="14" s="1"/>
  <c r="N128" i="14"/>
  <c r="N129" i="14" s="1"/>
  <c r="N130" i="14" s="1"/>
  <c r="O128" i="14"/>
  <c r="O129" i="14" s="1"/>
  <c r="O130" i="14" s="1"/>
  <c r="L128" i="14"/>
  <c r="L129" i="14" s="1"/>
  <c r="L130" i="14" s="1"/>
  <c r="J128" i="14"/>
  <c r="J129" i="14" s="1"/>
  <c r="J130" i="14" s="1"/>
  <c r="H128" i="14"/>
  <c r="H129" i="14" s="1"/>
  <c r="H130" i="14" s="1"/>
  <c r="I128" i="14"/>
  <c r="I129" i="14" s="1"/>
  <c r="I130" i="14" s="1"/>
  <c r="K128" i="14"/>
  <c r="K129" i="14" s="1"/>
  <c r="K130" i="14" s="1"/>
  <c r="M128" i="14"/>
  <c r="M129" i="14" s="1"/>
  <c r="M130" i="14" s="1"/>
  <c r="G60" i="14"/>
  <c r="G62" i="14" s="1"/>
  <c r="G135" i="14"/>
  <c r="G138" i="14" s="1"/>
  <c r="G155" i="14" s="1"/>
  <c r="G156" i="14" s="1"/>
  <c r="H135" i="14"/>
  <c r="H138" i="14" s="1"/>
  <c r="H155" i="14" s="1"/>
  <c r="H156" i="14" s="1"/>
  <c r="H58" i="14"/>
  <c r="G152" i="14" l="1"/>
  <c r="G153" i="14" s="1"/>
  <c r="H152" i="14"/>
  <c r="H153" i="14" s="1"/>
  <c r="L152" i="14"/>
  <c r="L153" i="14" s="1"/>
  <c r="P152" i="14"/>
  <c r="P153" i="14" s="1"/>
  <c r="I152" i="14"/>
  <c r="I153" i="14" s="1"/>
  <c r="M152" i="14"/>
  <c r="M153" i="14" s="1"/>
  <c r="O152" i="14"/>
  <c r="O153" i="14" s="1"/>
  <c r="J152" i="14"/>
  <c r="J153" i="14" s="1"/>
  <c r="N152" i="14"/>
  <c r="N153" i="14" s="1"/>
  <c r="K152" i="14"/>
  <c r="K153" i="14" s="1"/>
  <c r="E86" i="14"/>
  <c r="E88" i="14" s="1"/>
  <c r="H139" i="14"/>
  <c r="H131" i="14"/>
  <c r="N131" i="14"/>
  <c r="M131" i="14"/>
  <c r="P131" i="14"/>
  <c r="K131" i="14"/>
  <c r="L131" i="14"/>
  <c r="J131" i="14"/>
  <c r="I131" i="14"/>
  <c r="O131" i="14"/>
  <c r="I135" i="14"/>
  <c r="I138" i="14" s="1"/>
  <c r="J135" i="14"/>
  <c r="J138" i="14" s="1"/>
  <c r="J155" i="14" s="1"/>
  <c r="J156" i="14" s="1"/>
  <c r="H60" i="14"/>
  <c r="I58" i="14"/>
  <c r="G65" i="14" l="1"/>
  <c r="G140" i="14"/>
  <c r="E91" i="14"/>
  <c r="E99" i="14"/>
  <c r="I139" i="14"/>
  <c r="I155" i="14"/>
  <c r="I156" i="14" s="1"/>
  <c r="J139" i="14"/>
  <c r="H62" i="14"/>
  <c r="J58" i="14"/>
  <c r="I60" i="14"/>
  <c r="H65" i="14" l="1"/>
  <c r="H140" i="14"/>
  <c r="I62" i="14"/>
  <c r="K135" i="14"/>
  <c r="K138" i="14" s="1"/>
  <c r="J60" i="14"/>
  <c r="K58" i="14"/>
  <c r="I65" i="14" l="1"/>
  <c r="I140" i="14"/>
  <c r="K139" i="14"/>
  <c r="K155" i="14"/>
  <c r="K156" i="14" s="1"/>
  <c r="L135" i="14"/>
  <c r="L138" i="14" s="1"/>
  <c r="J62" i="14"/>
  <c r="K60" i="14"/>
  <c r="L58" i="14"/>
  <c r="J65" i="14" l="1"/>
  <c r="J140" i="14"/>
  <c r="L139" i="14"/>
  <c r="L155" i="14"/>
  <c r="L156" i="14" s="1"/>
  <c r="K62" i="14"/>
  <c r="M135" i="14"/>
  <c r="M138" i="14" s="1"/>
  <c r="L60" i="14"/>
  <c r="M58" i="14"/>
  <c r="K65" i="14" l="1"/>
  <c r="K140" i="14"/>
  <c r="M139" i="14"/>
  <c r="M155" i="14"/>
  <c r="M156" i="14" s="1"/>
  <c r="L62" i="14"/>
  <c r="N135" i="14"/>
  <c r="N138" i="14" s="1"/>
  <c r="N58" i="14"/>
  <c r="M60" i="14"/>
  <c r="L65" i="14" l="1"/>
  <c r="L140" i="14"/>
  <c r="N139" i="14"/>
  <c r="N155" i="14"/>
  <c r="N156" i="14" s="1"/>
  <c r="M62" i="14"/>
  <c r="O135" i="14"/>
  <c r="O138" i="14" s="1"/>
  <c r="P135" i="14"/>
  <c r="P138" i="14" s="1"/>
  <c r="P155" i="14" s="1"/>
  <c r="P156" i="14" s="1"/>
  <c r="N60" i="14"/>
  <c r="O58" i="14"/>
  <c r="M65" i="14" l="1"/>
  <c r="M140" i="14"/>
  <c r="O139" i="14"/>
  <c r="O155" i="14"/>
  <c r="O156" i="14" s="1"/>
  <c r="P139" i="14"/>
  <c r="N62" i="14"/>
  <c r="O60" i="14"/>
  <c r="P58" i="14"/>
  <c r="N65" i="14" l="1"/>
  <c r="N140" i="14"/>
  <c r="O62" i="14"/>
  <c r="P60" i="14"/>
  <c r="O65" i="14" l="1"/>
  <c r="O140" i="14"/>
  <c r="P62" i="14"/>
  <c r="P65" i="14" l="1"/>
  <c r="P140" i="14"/>
</calcChain>
</file>

<file path=xl/sharedStrings.xml><?xml version="1.0" encoding="utf-8"?>
<sst xmlns="http://schemas.openxmlformats.org/spreadsheetml/2006/main" count="972" uniqueCount="164">
  <si>
    <t>Frequency Regulation</t>
  </si>
  <si>
    <t>Value Sources(a)</t>
  </si>
  <si>
    <t>Energy Storage Configuration</t>
  </si>
  <si>
    <t>Charge</t>
  </si>
  <si>
    <t>Response</t>
  </si>
  <si>
    <t>Regulation</t>
  </si>
  <si>
    <t>PJM</t>
  </si>
  <si>
    <t>ISO-NE</t>
  </si>
  <si>
    <t>CAISO</t>
  </si>
  <si>
    <t>ERCOT</t>
  </si>
  <si>
    <t>NYISO</t>
  </si>
  <si>
    <t>IRR</t>
  </si>
  <si>
    <t>Demand Response</t>
  </si>
  <si>
    <t>Demand Response Revenue</t>
  </si>
  <si>
    <t xml:space="preserve">Demand </t>
  </si>
  <si>
    <t xml:space="preserve">Frequency </t>
  </si>
  <si>
    <t>Demand Charge Savings(b)</t>
  </si>
  <si>
    <t>Battery Size (kWh)</t>
  </si>
  <si>
    <t>Inverter Size (kW)</t>
  </si>
  <si>
    <t>Cycles per year (full DoD)</t>
  </si>
  <si>
    <t xml:space="preserve">Magement  + Demand </t>
  </si>
  <si>
    <t xml:space="preserve">Response + Frequency </t>
  </si>
  <si>
    <t xml:space="preserve">Region </t>
  </si>
  <si>
    <t>Magement  + Demand  Response +</t>
  </si>
  <si>
    <t xml:space="preserve">C-rating </t>
  </si>
  <si>
    <t>C</t>
  </si>
  <si>
    <t>C/</t>
  </si>
  <si>
    <t>O&amp;M</t>
  </si>
  <si>
    <t>Warranty</t>
  </si>
  <si>
    <t>Charging</t>
  </si>
  <si>
    <t>EBITDA</t>
  </si>
  <si>
    <t>EBIT</t>
  </si>
  <si>
    <t>Principal</t>
  </si>
  <si>
    <t>Total Revenue</t>
  </si>
  <si>
    <t>Demand Charge Savings</t>
  </si>
  <si>
    <t>Incentive Payments</t>
  </si>
  <si>
    <t>Total Operating Costs</t>
  </si>
  <si>
    <t>Less: MACRS D&amp;A</t>
  </si>
  <si>
    <t>Less: Interest Expense</t>
  </si>
  <si>
    <t>Less: Cash Taxes</t>
  </si>
  <si>
    <t>Tax Net Income</t>
  </si>
  <si>
    <t>MACRS D&amp;A</t>
  </si>
  <si>
    <t>Construction Capex</t>
  </si>
  <si>
    <t>After Tax Levered Cash Flow</t>
  </si>
  <si>
    <t>Levered Project IRR</t>
  </si>
  <si>
    <t>Assumptions</t>
  </si>
  <si>
    <t>Capacity</t>
  </si>
  <si>
    <t>kW</t>
  </si>
  <si>
    <t>Storage Hours</t>
  </si>
  <si>
    <t>hrs</t>
  </si>
  <si>
    <t>kWh</t>
  </si>
  <si>
    <t>Efficiency</t>
  </si>
  <si>
    <t>Cycles per Year</t>
  </si>
  <si>
    <t>Number</t>
  </si>
  <si>
    <t>MWH</t>
  </si>
  <si>
    <t>Depth of Discharge</t>
  </si>
  <si>
    <t>%</t>
  </si>
  <si>
    <t>Total Energy Discharged</t>
  </si>
  <si>
    <t>EPC Cost</t>
  </si>
  <si>
    <t>DC Cost/kWh</t>
  </si>
  <si>
    <t>AC Cost/kWh</t>
  </si>
  <si>
    <t>Total Cost/kWh</t>
  </si>
  <si>
    <t>USD/kWh</t>
  </si>
  <si>
    <t xml:space="preserve">Total Cost b/4 </t>
  </si>
  <si>
    <t>Regional EPC Scalar</t>
  </si>
  <si>
    <t>USD</t>
  </si>
  <si>
    <t>Factor</t>
  </si>
  <si>
    <t>EPC Cost Percent</t>
  </si>
  <si>
    <t>Percent</t>
  </si>
  <si>
    <t>Equipment Scalar</t>
  </si>
  <si>
    <t>Total EPC Adder</t>
  </si>
  <si>
    <t>BOS Scalar</t>
  </si>
  <si>
    <t>Total Construction Cost</t>
  </si>
  <si>
    <t>Revenues</t>
  </si>
  <si>
    <t>Revenue Escalation</t>
  </si>
  <si>
    <t>Demand Response Payment</t>
  </si>
  <si>
    <t>$/kW-yr</t>
  </si>
  <si>
    <t>Regulation Payment</t>
  </si>
  <si>
    <t>$/MWH</t>
  </si>
  <si>
    <t>Operating Cost</t>
  </si>
  <si>
    <t>O&amp;M Cost Percent</t>
  </si>
  <si>
    <t>Charging Escalation</t>
  </si>
  <si>
    <t>Charging Cost</t>
  </si>
  <si>
    <t>O&amp;M Cost as Percent of Capital</t>
  </si>
  <si>
    <t>Warranty Cost</t>
  </si>
  <si>
    <t>Inflation Indicies</t>
  </si>
  <si>
    <t>Demand Charge Escalated</t>
  </si>
  <si>
    <t>USD/kW-yr</t>
  </si>
  <si>
    <t>USD/MWH</t>
  </si>
  <si>
    <t>O&amp;M Cost</t>
  </si>
  <si>
    <t>Construction Cost in Model</t>
  </si>
  <si>
    <t>Charging Cost per MWH</t>
  </si>
  <si>
    <t>Delivered Energy</t>
  </si>
  <si>
    <t>Warranty Cost in Model</t>
  </si>
  <si>
    <t>Warranty Percent</t>
  </si>
  <si>
    <t>Total Implied O&amp;M Cost without Inflation</t>
  </si>
  <si>
    <t>O&amp;M cost in Model</t>
  </si>
  <si>
    <t>Regulation Revenues</t>
  </si>
  <si>
    <t>Cost per kW</t>
  </si>
  <si>
    <t>USD/kW</t>
  </si>
  <si>
    <t>Difference from Implied Cost</t>
  </si>
  <si>
    <t>Percent Difference</t>
  </si>
  <si>
    <t>Implied Cost from Warranty</t>
  </si>
  <si>
    <t>Implied Cost from Cost/kWh</t>
  </si>
  <si>
    <t>Potential Energy per Discharge</t>
  </si>
  <si>
    <t>Degradation</t>
  </si>
  <si>
    <t>Potential Energy Generated from Cycles: (Storage x Cycles)</t>
  </si>
  <si>
    <t>Regional Power Equipment Cost Scalar</t>
  </si>
  <si>
    <t>Extended Warranty</t>
  </si>
  <si>
    <t>Size (MW)</t>
  </si>
  <si>
    <t>Regional BOS Cost Scalar</t>
  </si>
  <si>
    <t>Capacity (MWh)</t>
  </si>
  <si>
    <t>Regional EPC Cost Scalar</t>
  </si>
  <si>
    <t>Cycles Per Year</t>
  </si>
  <si>
    <t>Useful Life (years)</t>
  </si>
  <si>
    <t>Maximum Charge or Discharge Capacity</t>
  </si>
  <si>
    <t>Replication of Construction Cost</t>
  </si>
  <si>
    <t>Before Regional Scalar</t>
  </si>
  <si>
    <t>Total Storage Capacity per Single Charge</t>
  </si>
  <si>
    <t>Capacity, Energy and Storage Assumptions</t>
  </si>
  <si>
    <t>Construction Cost Analysis</t>
  </si>
  <si>
    <t>Data for Energy Charged and Discharged Assumptions</t>
  </si>
  <si>
    <t>General Assumptions Common to Cases</t>
  </si>
  <si>
    <t>O&amp;M, Charging and Energy Reconciliation</t>
  </si>
  <si>
    <t>Difference</t>
  </si>
  <si>
    <t>Total with Inflation</t>
  </si>
  <si>
    <t>Regulation Payment Escalated</t>
  </si>
  <si>
    <t>Charging Cost from Model</t>
  </si>
  <si>
    <t>Energy Secured for Charging</t>
  </si>
  <si>
    <t>Revenue Reconciliation</t>
  </si>
  <si>
    <t>Escalated Price of Regulation</t>
  </si>
  <si>
    <t xml:space="preserve">USD </t>
  </si>
  <si>
    <t>Demand Charge Revenues</t>
  </si>
  <si>
    <t>Price per Maximum Released Capacity</t>
  </si>
  <si>
    <t>Storage per Charge</t>
  </si>
  <si>
    <t>kW-stored hr</t>
  </si>
  <si>
    <t>Price per Discharged Energy</t>
  </si>
  <si>
    <t>NE-ISO</t>
  </si>
  <si>
    <t>Demand Charges per MWH Discharged</t>
  </si>
  <si>
    <t>F</t>
  </si>
  <si>
    <t>E</t>
  </si>
  <si>
    <t>G</t>
  </si>
  <si>
    <t>Incentive Percent</t>
  </si>
  <si>
    <t>DC Cost/kWh Before Incentive</t>
  </si>
  <si>
    <t>Total Cost b/4 EPC Adder</t>
  </si>
  <si>
    <t>Capacity Factor</t>
  </si>
  <si>
    <t>Energy from Cycles Analysis</t>
  </si>
  <si>
    <t>Energy from Cycle Analysis</t>
  </si>
  <si>
    <t>H</t>
  </si>
  <si>
    <t>Implied Quantity for Regulation</t>
  </si>
  <si>
    <t>NY-ISO</t>
  </si>
  <si>
    <t>Assumped Price</t>
  </si>
  <si>
    <t>Price in Assumptions</t>
  </si>
  <si>
    <t>Price per in Assumptions</t>
  </si>
  <si>
    <t>Potential Storage Energy per Discharge</t>
  </si>
  <si>
    <t>Total Cost/kWh - per kWh of storage for 1 charge</t>
  </si>
  <si>
    <t>Cost per kW of charge</t>
  </si>
  <si>
    <t>Implied CF</t>
  </si>
  <si>
    <t>Memo: Demand Charge Savings</t>
  </si>
  <si>
    <t>Memo: O&amp;M</t>
  </si>
  <si>
    <t>Cost per kW Discharged</t>
  </si>
  <si>
    <t>UD/KW</t>
  </si>
  <si>
    <t>Capacity - Max Discharge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</si>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</sst>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#.00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56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9" fontId="0" fillId="0" borderId="0" xfId="0" applyNumberFormat="1"/>
    <xf numFmtId="3" fontId="0" fillId="0" borderId="0" xfId="0" applyNumberFormat="1"/>
    <xf numFmtId="164" fontId="0" fillId="0" borderId="0" xfId="0" applyNumberFormat="1"/>
    <xf numFmtId="16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3" fontId="0" fillId="0" borderId="1" xfId="0" applyNumberFormat="1" applyBorder="1"/>
    <xf numFmtId="0" fontId="3" fillId="0" borderId="0" xfId="0" applyFont="1" applyFill="1" applyBorder="1"/>
    <xf numFmtId="0" fontId="3" fillId="0" borderId="0" xfId="0" applyFont="1" applyFill="1"/>
    <xf numFmtId="164" fontId="3" fillId="0" borderId="0" xfId="0" applyNumberFormat="1" applyFont="1" applyFill="1" applyBorder="1"/>
    <xf numFmtId="164" fontId="3" fillId="0" borderId="0" xfId="0" applyNumberFormat="1" applyFont="1" applyFill="1"/>
    <xf numFmtId="164" fontId="3" fillId="0" borderId="2" xfId="0" applyNumberFormat="1" applyFont="1" applyFill="1" applyBorder="1"/>
    <xf numFmtId="165" fontId="3" fillId="0" borderId="2" xfId="1" applyNumberFormat="1" applyFont="1" applyFill="1" applyBorder="1"/>
    <xf numFmtId="3" fontId="3" fillId="0" borderId="0" xfId="0" applyNumberFormat="1" applyFont="1" applyFill="1"/>
    <xf numFmtId="3" fontId="3" fillId="0" borderId="0" xfId="0" applyNumberFormat="1" applyFont="1" applyFill="1" applyBorder="1"/>
    <xf numFmtId="165" fontId="3" fillId="0" borderId="0" xfId="1" applyNumberFormat="1" applyFont="1" applyFill="1"/>
    <xf numFmtId="4" fontId="3" fillId="0" borderId="0" xfId="1" applyNumberFormat="1" applyFont="1" applyFill="1"/>
    <xf numFmtId="10" fontId="3" fillId="0" borderId="0" xfId="0" applyNumberFormat="1" applyFont="1" applyFill="1"/>
    <xf numFmtId="9" fontId="3" fillId="0" borderId="0" xfId="0" applyNumberFormat="1" applyFont="1" applyFill="1"/>
    <xf numFmtId="4" fontId="3" fillId="0" borderId="0" xfId="0" applyNumberFormat="1" applyFont="1" applyFill="1"/>
    <xf numFmtId="0" fontId="3" fillId="0" borderId="2" xfId="0" applyFont="1" applyFill="1" applyBorder="1"/>
    <xf numFmtId="4" fontId="3" fillId="0" borderId="2" xfId="0" applyNumberFormat="1" applyFont="1" applyFill="1" applyBorder="1"/>
    <xf numFmtId="165" fontId="3" fillId="0" borderId="0" xfId="0" applyNumberFormat="1" applyFont="1" applyFill="1"/>
    <xf numFmtId="165" fontId="3" fillId="0" borderId="2" xfId="0" applyNumberFormat="1" applyFont="1" applyFill="1" applyBorder="1"/>
    <xf numFmtId="165" fontId="3" fillId="0" borderId="0" xfId="0" applyNumberFormat="1" applyFont="1" applyFill="1" applyBorder="1"/>
    <xf numFmtId="10" fontId="3" fillId="0" borderId="0" xfId="0" applyNumberFormat="1" applyFont="1" applyFill="1" applyBorder="1"/>
    <xf numFmtId="0" fontId="4" fillId="0" borderId="0" xfId="0" applyFont="1" applyFill="1"/>
    <xf numFmtId="165" fontId="4" fillId="0" borderId="0" xfId="1" applyNumberFormat="1" applyFont="1" applyFill="1" applyBorder="1"/>
    <xf numFmtId="165" fontId="4" fillId="0" borderId="2" xfId="1" applyNumberFormat="1" applyFont="1" applyFill="1" applyBorder="1"/>
    <xf numFmtId="0" fontId="4" fillId="0" borderId="0" xfId="0" applyFont="1" applyFill="1" applyBorder="1"/>
    <xf numFmtId="4" fontId="4" fillId="0" borderId="0" xfId="0" applyNumberFormat="1" applyFont="1" applyFill="1"/>
    <xf numFmtId="10" fontId="2" fillId="0" borderId="0" xfId="0" applyNumberFormat="1" applyFont="1" applyFill="1"/>
    <xf numFmtId="4" fontId="2" fillId="0" borderId="0" xfId="0" applyNumberFormat="1" applyFont="1" applyFill="1"/>
    <xf numFmtId="0" fontId="5" fillId="2" borderId="0" xfId="0" applyFont="1" applyFill="1"/>
    <xf numFmtId="0" fontId="5" fillId="2" borderId="0" xfId="0" applyFont="1" applyFill="1" applyBorder="1"/>
    <xf numFmtId="165" fontId="5" fillId="2" borderId="0" xfId="0" applyNumberFormat="1" applyFont="1" applyFill="1" applyBorder="1"/>
    <xf numFmtId="3" fontId="2" fillId="0" borderId="0" xfId="0" applyNumberFormat="1" applyFont="1" applyFill="1"/>
    <xf numFmtId="165" fontId="4" fillId="0" borderId="0" xfId="1" applyNumberFormat="1" applyFont="1" applyFill="1"/>
    <xf numFmtId="10" fontId="3" fillId="0" borderId="0" xfId="1" applyNumberFormat="1" applyFont="1" applyFill="1"/>
    <xf numFmtId="3" fontId="3" fillId="0" borderId="2" xfId="0" applyNumberFormat="1" applyFont="1" applyFill="1" applyBorder="1"/>
    <xf numFmtId="3" fontId="3" fillId="0" borderId="1" xfId="0" applyNumberFormat="1" applyFont="1" applyFill="1" applyBorder="1"/>
    <xf numFmtId="9" fontId="4" fillId="0" borderId="0" xfId="0" applyNumberFormat="1" applyFont="1" applyFill="1"/>
    <xf numFmtId="165" fontId="4" fillId="0" borderId="1" xfId="1" applyNumberFormat="1" applyFont="1" applyFill="1" applyBorder="1"/>
    <xf numFmtId="0" fontId="0" fillId="3" borderId="0" xfId="0" applyFill="1"/>
    <xf numFmtId="0" fontId="3" fillId="0" borderId="3" xfId="0" applyFont="1" applyFill="1" applyBorder="1"/>
    <xf numFmtId="0" fontId="3" fillId="0" borderId="1" xfId="0" applyFont="1" applyFill="1" applyBorder="1"/>
    <xf numFmtId="10" fontId="3" fillId="0" borderId="4" xfId="0" applyNumberFormat="1" applyFont="1" applyFill="1" applyBorder="1"/>
    <xf numFmtId="4" fontId="3" fillId="0" borderId="0" xfId="0" applyNumberFormat="1" applyFont="1" applyFill="1" applyBorder="1"/>
    <xf numFmtId="164" fontId="3" fillId="0" borderId="1" xfId="0" applyNumberFormat="1" applyFont="1" applyFill="1" applyBorder="1"/>
    <xf numFmtId="3" fontId="4" fillId="0" borderId="1" xfId="0" applyNumberFormat="1" applyFont="1" applyFill="1" applyBorder="1"/>
    <xf numFmtId="164" fontId="4" fillId="0" borderId="0" xfId="0" applyNumberFormat="1" applyFont="1" applyFill="1"/>
    <xf numFmtId="3" fontId="4" fillId="0" borderId="0" xfId="0" applyNumberFormat="1" applyFont="1" applyFill="1"/>
    <xf numFmtId="164" fontId="4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10" fontId="4" fillId="0" borderId="0" xfId="0" applyNumberFormat="1" applyFont="1" applyFill="1"/>
  </cellXfs>
  <cellStyles count="2">
    <cellStyle name="Comma" xfId="1" builtinId="3"/>
    <cellStyle name="Normal" xfId="0" builtinId="0"/>
  </cellStyles>
  <dxfs count="108"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  <dxf>
      <font>
        <color rgb="FF3333FF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4" Type="http://schemas.openxmlformats.org/officeDocument/2006/relationships/image" Target="../media/image1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4.png"/><Relationship Id="rId1" Type="http://schemas.openxmlformats.org/officeDocument/2006/relationships/image" Target="../media/image13.png"/><Relationship Id="rId4" Type="http://schemas.openxmlformats.org/officeDocument/2006/relationships/image" Target="../media/image1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4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37048</xdr:rowOff>
    </xdr:from>
    <xdr:to>
      <xdr:col>11</xdr:col>
      <xdr:colOff>406400</xdr:colOff>
      <xdr:row>28</xdr:row>
      <xdr:rowOff>151551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FCD181-E837-4EF8-95F9-C7BC1AFBB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37048"/>
          <a:ext cx="6921500" cy="52707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16</xdr:col>
      <xdr:colOff>22771</xdr:colOff>
      <xdr:row>38</xdr:row>
      <xdr:rowOff>146050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F4030A5-D4CC-4E5D-8687-172146074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24500"/>
          <a:ext cx="9776371" cy="161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123016</xdr:rowOff>
    </xdr:from>
    <xdr:to>
      <xdr:col>13</xdr:col>
      <xdr:colOff>400050</xdr:colOff>
      <xdr:row>29</xdr:row>
      <xdr:rowOff>11990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12573F-23D0-4EC4-9387-389FB4A5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91316"/>
          <a:ext cx="8115300" cy="48610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16</xdr:col>
      <xdr:colOff>22771</xdr:colOff>
      <xdr:row>39</xdr:row>
      <xdr:rowOff>146050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5F8652F-B410-4466-89BA-FD051ABE2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708650"/>
          <a:ext cx="9776371" cy="1619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18</xdr:row>
      <xdr:rowOff>76200</xdr:rowOff>
    </xdr:from>
    <xdr:to>
      <xdr:col>11</xdr:col>
      <xdr:colOff>583566</xdr:colOff>
      <xdr:row>26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EC933A-8E27-4065-9B3E-34A500E0F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3390900"/>
          <a:ext cx="9784716" cy="1447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12</xdr:row>
      <xdr:rowOff>101600</xdr:rowOff>
    </xdr:from>
    <xdr:to>
      <xdr:col>10</xdr:col>
      <xdr:colOff>157326</xdr:colOff>
      <xdr:row>20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12C7945-7B4B-4134-B99F-352C657AA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5900" y="2863850"/>
          <a:ext cx="9758526" cy="1390650"/>
        </a:xfrm>
        <a:prstGeom prst="rect">
          <a:avLst/>
        </a:prstGeom>
      </xdr:spPr>
    </xdr:pic>
    <xdr:clientData/>
  </xdr:twoCellAnchor>
  <xdr:twoCellAnchor editAs="oneCell">
    <xdr:from>
      <xdr:col>0</xdr:col>
      <xdr:colOff>520700</xdr:colOff>
      <xdr:row>2</xdr:row>
      <xdr:rowOff>165100</xdr:rowOff>
    </xdr:from>
    <xdr:to>
      <xdr:col>8</xdr:col>
      <xdr:colOff>465686</xdr:colOff>
      <xdr:row>11</xdr:row>
      <xdr:rowOff>69655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4C9E23-E3EE-42AE-BD01-ECAC84C7E4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0700" y="1085850"/>
          <a:ext cx="8314286" cy="15619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9</xdr:col>
      <xdr:colOff>808433</xdr:colOff>
      <xdr:row>30</xdr:row>
      <xdr:rowOff>22038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E8E9367-F73C-45D6-A9DC-F1EC39F92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4051300"/>
          <a:ext cx="9533333" cy="14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203200</xdr:colOff>
      <xdr:row>25</xdr:row>
      <xdr:rowOff>69850</xdr:rowOff>
    </xdr:from>
    <xdr:to>
      <xdr:col>20</xdr:col>
      <xdr:colOff>21286</xdr:colOff>
      <xdr:row>29</xdr:row>
      <xdr:rowOff>38012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10B7CBF-22A2-4469-AA2D-70D5771D3C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25050" y="4673600"/>
          <a:ext cx="7514286" cy="7047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298450</xdr:colOff>
      <xdr:row>2</xdr:row>
      <xdr:rowOff>25400</xdr:rowOff>
    </xdr:from>
    <xdr:to>
      <xdr:col>10</xdr:col>
      <xdr:colOff>78324</xdr:colOff>
      <xdr:row>10</xdr:row>
      <xdr:rowOff>95057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1A334A-F1A0-4ED7-AA67-69697931D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450" y="393700"/>
          <a:ext cx="8409524" cy="1542857"/>
        </a:xfrm>
        <a:prstGeom prst="rect">
          <a:avLst/>
        </a:prstGeom>
      </xdr:spPr>
    </xdr:pic>
    <xdr:clientData/>
  </xdr:twoCellAnchor>
  <xdr:twoCellAnchor editAs="oneCell">
    <xdr:from>
      <xdr:col>2</xdr:col>
      <xdr:colOff>488950</xdr:colOff>
      <xdr:row>13</xdr:row>
      <xdr:rowOff>0</xdr:rowOff>
    </xdr:from>
    <xdr:to>
      <xdr:col>11</xdr:col>
      <xdr:colOff>108772</xdr:colOff>
      <xdr:row>20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2269FA1-28EF-4282-B8C2-75669BCB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950" y="2025650"/>
          <a:ext cx="9176572" cy="138430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12</xdr:col>
      <xdr:colOff>789457</xdr:colOff>
      <xdr:row>25</xdr:row>
      <xdr:rowOff>145986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CBBB750-002A-482A-A5B6-E4BAC5E6E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3867150"/>
          <a:ext cx="8942857" cy="514286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12</xdr:col>
      <xdr:colOff>598981</xdr:colOff>
      <xdr:row>32</xdr:row>
      <xdr:rowOff>79250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04EF7F3-8BCD-449D-B07F-813525D95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4603750"/>
          <a:ext cx="8752381" cy="1000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13</xdr:col>
      <xdr:colOff>300633</xdr:colOff>
      <xdr:row>9</xdr:row>
      <xdr:rowOff>129998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C5959F-F701-452B-BE45-07F145001D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7933333" cy="141904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14</xdr:col>
      <xdr:colOff>125705</xdr:colOff>
      <xdr:row>20</xdr:row>
      <xdr:rowOff>158750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54992E-08EC-4363-8C5B-874A4B475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2025650"/>
          <a:ext cx="8514055" cy="16319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14</xdr:col>
      <xdr:colOff>554507</xdr:colOff>
      <xdr:row>25</xdr:row>
      <xdr:rowOff>145986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54D7427-41E6-4B35-8C8F-A5D530933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4051300"/>
          <a:ext cx="8942857" cy="514286"/>
        </a:xfrm>
        <a:prstGeom prst="rect">
          <a:avLst/>
        </a:prstGeom>
      </xdr:spPr>
    </xdr:pic>
    <xdr:clientData/>
  </xdr:twoCellAnchor>
  <xdr:twoCellAnchor editAs="oneCell">
    <xdr:from>
      <xdr:col>2</xdr:col>
      <xdr:colOff>596900</xdr:colOff>
      <xdr:row>26</xdr:row>
      <xdr:rowOff>146050</xdr:rowOff>
    </xdr:from>
    <xdr:to>
      <xdr:col>11</xdr:col>
      <xdr:colOff>694238</xdr:colOff>
      <xdr:row>32</xdr:row>
      <xdr:rowOff>174483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E5F03FE-7CF7-4FE2-8E0E-D8AB780D9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96900" y="4749800"/>
          <a:ext cx="8695238" cy="11333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44450</xdr:rowOff>
    </xdr:from>
    <xdr:to>
      <xdr:col>13</xdr:col>
      <xdr:colOff>395857</xdr:colOff>
      <xdr:row>10</xdr:row>
      <xdr:rowOff>9345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609678-2EF9-44D3-9138-F8569CFAB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8250" y="412750"/>
          <a:ext cx="8142857" cy="1438095"/>
        </a:xfrm>
        <a:prstGeom prst="rect">
          <a:avLst/>
        </a:prstGeom>
      </xdr:spPr>
    </xdr:pic>
    <xdr:clientData/>
  </xdr:twoCellAnchor>
  <xdr:twoCellAnchor editAs="oneCell">
    <xdr:from>
      <xdr:col>2</xdr:col>
      <xdr:colOff>609599</xdr:colOff>
      <xdr:row>11</xdr:row>
      <xdr:rowOff>0</xdr:rowOff>
    </xdr:from>
    <xdr:to>
      <xdr:col>13</xdr:col>
      <xdr:colOff>81668</xdr:colOff>
      <xdr:row>19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B3A56E-EF29-443F-9470-670CBC000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599" y="2025650"/>
          <a:ext cx="10057519" cy="1492250"/>
        </a:xfrm>
        <a:prstGeom prst="rect">
          <a:avLst/>
        </a:prstGeom>
      </xdr:spPr>
    </xdr:pic>
    <xdr:clientData/>
  </xdr:twoCellAnchor>
  <xdr:twoCellAnchor editAs="oneCell">
    <xdr:from>
      <xdr:col>3</xdr:col>
      <xdr:colOff>584200</xdr:colOff>
      <xdr:row>20</xdr:row>
      <xdr:rowOff>152400</xdr:rowOff>
    </xdr:from>
    <xdr:to>
      <xdr:col>15</xdr:col>
      <xdr:colOff>217957</xdr:colOff>
      <xdr:row>23</xdr:row>
      <xdr:rowOff>114236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03C6E84-6BCF-439E-B7D5-C61BA8331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93800" y="3835400"/>
          <a:ext cx="8942857" cy="514286"/>
        </a:xfrm>
        <a:prstGeom prst="rect">
          <a:avLst/>
        </a:prstGeom>
      </xdr:spPr>
    </xdr:pic>
    <xdr:clientData/>
  </xdr:twoCellAnchor>
  <xdr:twoCellAnchor editAs="oneCell">
    <xdr:from>
      <xdr:col>3</xdr:col>
      <xdr:colOff>533400</xdr:colOff>
      <xdr:row>24</xdr:row>
      <xdr:rowOff>107950</xdr:rowOff>
    </xdr:from>
    <xdr:to>
      <xdr:col>15</xdr:col>
      <xdr:colOff>119538</xdr:colOff>
      <xdr:row>30</xdr:row>
      <xdr:rowOff>3050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E76EF9-4CB5-4405-99FD-D7083D3AE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0" y="4527550"/>
          <a:ext cx="8895238" cy="10000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13</xdr:col>
      <xdr:colOff>192676</xdr:colOff>
      <xdr:row>8</xdr:row>
      <xdr:rowOff>171290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2C6588-B657-47E2-9367-E3A2E006E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4150"/>
          <a:ext cx="7990476" cy="1276190"/>
        </a:xfrm>
        <a:prstGeom prst="rect">
          <a:avLst/>
        </a:prstGeom>
      </xdr:spPr>
    </xdr:pic>
    <xdr:clientData/>
  </xdr:twoCellAnchor>
  <xdr:twoCellAnchor editAs="oneCell">
    <xdr:from>
      <xdr:col>2</xdr:col>
      <xdr:colOff>596900</xdr:colOff>
      <xdr:row>10</xdr:row>
      <xdr:rowOff>25400</xdr:rowOff>
    </xdr:from>
    <xdr:to>
      <xdr:col>13</xdr:col>
      <xdr:colOff>2130</xdr:colOff>
      <xdr:row>19</xdr:row>
      <xdr:rowOff>165100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EAA5D5F-30CB-4376-9A2E-35416EC9B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6900" y="1682750"/>
          <a:ext cx="9469980" cy="1797050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14</xdr:col>
      <xdr:colOff>364007</xdr:colOff>
      <xdr:row>24</xdr:row>
      <xdr:rowOff>145986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4105B5A-73BC-4AFA-B0D6-AAE45F645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3867150"/>
          <a:ext cx="8942857" cy="514286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14</xdr:col>
      <xdr:colOff>202102</xdr:colOff>
      <xdr:row>32</xdr:row>
      <xdr:rowOff>104624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33AB246-C2BA-4B00-8C5C-C70A06239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4603750"/>
          <a:ext cx="8780952" cy="12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tabSelected="1" workbookViewId="0">
      <selection activeCell="M2" sqref="M2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C1:N21"/>
  <sheetViews>
    <sheetView workbookViewId="0"/>
  </sheetViews>
  <sheetFormatPr defaultRowHeight="14.5" x14ac:dyDescent="0.35"/>
  <cols>
    <col min="1" max="2" width="1.54296875" customWidth="1"/>
    <col min="3" max="3" width="38.453125" bestFit="1" customWidth="1"/>
    <col min="4" max="4" width="14.08984375" bestFit="1" customWidth="1"/>
    <col min="5" max="14" width="12.54296875" bestFit="1" customWidth="1"/>
  </cols>
  <sheetData>
    <row r="1" spans="3:14" x14ac:dyDescent="0.35">
      <c r="D1">
        <v>2016</v>
      </c>
      <c r="E1">
        <v>2017</v>
      </c>
      <c r="F1">
        <v>2018</v>
      </c>
      <c r="G1">
        <v>2019</v>
      </c>
      <c r="H1">
        <v>2020</v>
      </c>
      <c r="I1">
        <v>2021</v>
      </c>
      <c r="J1">
        <v>2022</v>
      </c>
      <c r="K1">
        <v>2023</v>
      </c>
      <c r="L1">
        <v>2024</v>
      </c>
      <c r="M1">
        <v>2025</v>
      </c>
      <c r="N1">
        <v>2026</v>
      </c>
    </row>
    <row r="2" spans="3:14" s="3" customFormat="1" x14ac:dyDescent="0.35">
      <c r="C2" s="3" t="s">
        <v>34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0</v>
      </c>
      <c r="L2" s="6">
        <v>0</v>
      </c>
      <c r="M2" s="6">
        <v>0</v>
      </c>
      <c r="N2" s="6">
        <v>0</v>
      </c>
    </row>
    <row r="3" spans="3:14" s="3" customFormat="1" x14ac:dyDescent="0.35">
      <c r="C3" s="3" t="s">
        <v>12</v>
      </c>
      <c r="D3" s="6">
        <v>0</v>
      </c>
      <c r="E3" s="6">
        <v>154774</v>
      </c>
      <c r="F3" s="6">
        <v>158644</v>
      </c>
      <c r="G3" s="6">
        <v>162610</v>
      </c>
      <c r="H3" s="6">
        <v>166675</v>
      </c>
      <c r="I3" s="6">
        <v>170842</v>
      </c>
      <c r="J3" s="6">
        <v>175113</v>
      </c>
      <c r="K3" s="6">
        <v>179491</v>
      </c>
      <c r="L3" s="6">
        <v>183978</v>
      </c>
      <c r="M3" s="6">
        <v>188578</v>
      </c>
      <c r="N3" s="6">
        <v>193292</v>
      </c>
    </row>
    <row r="4" spans="3:14" s="3" customFormat="1" x14ac:dyDescent="0.35">
      <c r="C4" s="3" t="s">
        <v>0</v>
      </c>
      <c r="D4" s="6">
        <v>0</v>
      </c>
      <c r="E4" s="6">
        <v>1731</v>
      </c>
      <c r="F4" s="6">
        <v>1775</v>
      </c>
      <c r="G4" s="6">
        <v>1819</v>
      </c>
      <c r="H4" s="6">
        <v>1865</v>
      </c>
      <c r="I4" s="6">
        <v>1911</v>
      </c>
      <c r="J4" s="6">
        <v>1959</v>
      </c>
      <c r="K4" s="6">
        <v>2008</v>
      </c>
      <c r="L4" s="6">
        <v>2058</v>
      </c>
      <c r="M4" s="6">
        <v>2110</v>
      </c>
      <c r="N4" s="6">
        <v>2162</v>
      </c>
    </row>
    <row r="5" spans="3:14" s="2" customFormat="1" x14ac:dyDescent="0.35">
      <c r="C5" s="2" t="s">
        <v>35</v>
      </c>
      <c r="D5" s="6">
        <v>393919</v>
      </c>
      <c r="E5" s="6">
        <v>78784</v>
      </c>
      <c r="F5" s="6">
        <v>78784</v>
      </c>
      <c r="G5" s="6">
        <v>78784</v>
      </c>
      <c r="H5" s="6">
        <v>78784</v>
      </c>
      <c r="I5" s="6">
        <v>78784</v>
      </c>
      <c r="J5" s="6">
        <v>0</v>
      </c>
      <c r="K5" s="6">
        <v>0</v>
      </c>
      <c r="L5" s="6">
        <v>0</v>
      </c>
      <c r="M5" s="6">
        <v>0</v>
      </c>
      <c r="N5" s="6">
        <v>0</v>
      </c>
    </row>
    <row r="6" spans="3:14" s="2" customFormat="1" x14ac:dyDescent="0.35">
      <c r="C6" s="7" t="s">
        <v>33</v>
      </c>
      <c r="D6" s="5">
        <v>393919</v>
      </c>
      <c r="E6" s="5">
        <v>235290</v>
      </c>
      <c r="F6" s="5">
        <v>239202</v>
      </c>
      <c r="G6" s="5">
        <v>243213</v>
      </c>
      <c r="H6" s="5">
        <v>247323</v>
      </c>
      <c r="I6" s="5">
        <v>251537</v>
      </c>
      <c r="J6" s="5">
        <v>177072</v>
      </c>
      <c r="K6" s="5">
        <v>181499</v>
      </c>
      <c r="L6" s="5">
        <v>186036</v>
      </c>
      <c r="M6" s="5">
        <v>190687</v>
      </c>
      <c r="N6" s="5">
        <v>195454</v>
      </c>
    </row>
    <row r="7" spans="3:14" s="2" customFormat="1" x14ac:dyDescent="0.35"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3:14" s="3" customFormat="1" x14ac:dyDescent="0.35">
      <c r="C8" s="3" t="s">
        <v>27</v>
      </c>
      <c r="D8" s="6">
        <v>0</v>
      </c>
      <c r="E8" s="6">
        <v>-20898</v>
      </c>
      <c r="F8" s="6">
        <v>-21369</v>
      </c>
      <c r="G8" s="6">
        <v>-21849</v>
      </c>
      <c r="H8" s="6">
        <v>-22341</v>
      </c>
      <c r="I8" s="6">
        <v>-22844</v>
      </c>
      <c r="J8" s="6">
        <v>-23358</v>
      </c>
      <c r="K8" s="6">
        <v>-23883</v>
      </c>
      <c r="L8" s="6">
        <v>-24421</v>
      </c>
      <c r="M8" s="6">
        <v>-24970</v>
      </c>
      <c r="N8" s="6">
        <v>-25532</v>
      </c>
    </row>
    <row r="9" spans="3:14" s="3" customFormat="1" x14ac:dyDescent="0.35">
      <c r="C9" s="3" t="s">
        <v>28</v>
      </c>
      <c r="D9" s="6">
        <v>0</v>
      </c>
      <c r="E9" s="6">
        <v>0</v>
      </c>
      <c r="F9" s="6">
        <v>0</v>
      </c>
      <c r="G9" s="6">
        <v>-26261</v>
      </c>
      <c r="H9" s="6">
        <v>-26261</v>
      </c>
      <c r="I9" s="6">
        <v>-26261</v>
      </c>
      <c r="J9" s="6">
        <v>-26261</v>
      </c>
      <c r="K9" s="6">
        <v>-26261</v>
      </c>
      <c r="L9" s="6">
        <v>-26261</v>
      </c>
      <c r="M9" s="6">
        <v>-26261</v>
      </c>
      <c r="N9" s="6">
        <v>-26261</v>
      </c>
    </row>
    <row r="10" spans="3:14" s="3" customFormat="1" x14ac:dyDescent="0.35">
      <c r="C10" s="3" t="s">
        <v>29</v>
      </c>
      <c r="D10" s="6">
        <v>0</v>
      </c>
      <c r="E10" s="6">
        <v>-10980</v>
      </c>
      <c r="F10" s="6">
        <v>-11252</v>
      </c>
      <c r="G10" s="6">
        <v>-11531</v>
      </c>
      <c r="H10" s="6">
        <v>-11817</v>
      </c>
      <c r="I10" s="6">
        <v>-12110</v>
      </c>
      <c r="J10" s="6">
        <v>-12411</v>
      </c>
      <c r="K10" s="6">
        <v>-12718</v>
      </c>
      <c r="L10" s="6">
        <v>-13034</v>
      </c>
      <c r="M10" s="6">
        <v>-13357</v>
      </c>
      <c r="N10" s="6">
        <v>-13688</v>
      </c>
    </row>
    <row r="11" spans="3:14" s="3" customFormat="1" x14ac:dyDescent="0.35">
      <c r="C11" s="4" t="s">
        <v>36</v>
      </c>
      <c r="D11" s="5">
        <v>0</v>
      </c>
      <c r="E11" s="5">
        <v>-31878</v>
      </c>
      <c r="F11" s="5">
        <v>-32621</v>
      </c>
      <c r="G11" s="5">
        <v>-59642</v>
      </c>
      <c r="H11" s="5">
        <v>-60419</v>
      </c>
      <c r="I11" s="5">
        <v>-61215</v>
      </c>
      <c r="J11" s="5">
        <v>-62030</v>
      </c>
      <c r="K11" s="5">
        <v>-62863</v>
      </c>
      <c r="L11" s="5">
        <v>-63716</v>
      </c>
      <c r="M11" s="5">
        <v>-64588</v>
      </c>
      <c r="N11" s="5">
        <v>-65481</v>
      </c>
    </row>
    <row r="12" spans="3:14" s="2" customFormat="1" x14ac:dyDescent="0.35">
      <c r="C12" s="2" t="s">
        <v>30</v>
      </c>
      <c r="D12" s="6">
        <v>393919</v>
      </c>
      <c r="E12" s="6">
        <v>203411</v>
      </c>
      <c r="F12" s="6">
        <v>206582</v>
      </c>
      <c r="G12" s="6">
        <v>183571</v>
      </c>
      <c r="H12" s="6">
        <v>186904</v>
      </c>
      <c r="I12" s="6">
        <v>190322</v>
      </c>
      <c r="J12" s="6">
        <v>115042</v>
      </c>
      <c r="K12" s="6">
        <v>118636</v>
      </c>
      <c r="L12" s="6">
        <v>122321</v>
      </c>
      <c r="M12" s="6">
        <v>126099</v>
      </c>
      <c r="N12" s="6">
        <v>129973</v>
      </c>
    </row>
    <row r="13" spans="3:14" s="3" customFormat="1" x14ac:dyDescent="0.35">
      <c r="C13" s="3" t="s">
        <v>37</v>
      </c>
      <c r="D13" s="6">
        <v>0</v>
      </c>
      <c r="E13" s="6">
        <v>-187637</v>
      </c>
      <c r="F13" s="6">
        <v>-321569</v>
      </c>
      <c r="G13" s="6">
        <v>-229655</v>
      </c>
      <c r="H13" s="6">
        <v>-164002</v>
      </c>
      <c r="I13" s="6">
        <v>-117257</v>
      </c>
      <c r="J13" s="6">
        <v>-117125</v>
      </c>
      <c r="K13" s="6">
        <v>-117257</v>
      </c>
      <c r="L13" s="6">
        <v>-58563</v>
      </c>
      <c r="M13" s="6">
        <v>0</v>
      </c>
      <c r="N13" s="6">
        <v>0</v>
      </c>
    </row>
    <row r="14" spans="3:14" s="2" customFormat="1" x14ac:dyDescent="0.35">
      <c r="C14" s="2" t="s">
        <v>31</v>
      </c>
      <c r="D14" s="6">
        <v>393919</v>
      </c>
      <c r="E14" s="6">
        <v>15775</v>
      </c>
      <c r="F14" s="6">
        <v>-114988</v>
      </c>
      <c r="G14" s="6">
        <v>-46084</v>
      </c>
      <c r="H14" s="6">
        <v>22902</v>
      </c>
      <c r="I14" s="6">
        <v>73065</v>
      </c>
      <c r="J14" s="6">
        <v>-2083</v>
      </c>
      <c r="K14" s="6">
        <v>1379</v>
      </c>
      <c r="L14" s="6">
        <v>63758</v>
      </c>
      <c r="M14" s="6">
        <v>126099</v>
      </c>
      <c r="N14" s="6">
        <v>129973</v>
      </c>
    </row>
    <row r="15" spans="3:14" s="3" customFormat="1" x14ac:dyDescent="0.35">
      <c r="C15" s="3" t="s">
        <v>38</v>
      </c>
      <c r="D15" s="6">
        <v>0</v>
      </c>
      <c r="E15" s="6">
        <v>-21009</v>
      </c>
      <c r="F15" s="6">
        <v>-19559</v>
      </c>
      <c r="G15" s="6">
        <v>-17993</v>
      </c>
      <c r="H15" s="6">
        <v>-16301</v>
      </c>
      <c r="I15" s="6">
        <v>-14474</v>
      </c>
      <c r="J15" s="6">
        <v>-12501</v>
      </c>
      <c r="K15" s="6">
        <v>-10370</v>
      </c>
      <c r="L15" s="6">
        <v>-8069</v>
      </c>
      <c r="M15" s="6">
        <v>-5583</v>
      </c>
      <c r="N15" s="6">
        <v>-2899</v>
      </c>
    </row>
    <row r="16" spans="3:14" s="2" customFormat="1" x14ac:dyDescent="0.35">
      <c r="C16" s="2" t="s">
        <v>39</v>
      </c>
      <c r="D16" s="6">
        <v>-153628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-5447</v>
      </c>
      <c r="N16" s="6">
        <v>-49559</v>
      </c>
    </row>
    <row r="17" spans="3:14" s="2" customFormat="1" x14ac:dyDescent="0.35">
      <c r="C17" s="7" t="s">
        <v>40</v>
      </c>
      <c r="D17" s="5">
        <v>240291</v>
      </c>
      <c r="E17" s="5">
        <v>-5234</v>
      </c>
      <c r="F17" s="5">
        <v>-134546</v>
      </c>
      <c r="G17" s="5">
        <v>-64076</v>
      </c>
      <c r="H17" s="5">
        <v>6601</v>
      </c>
      <c r="I17" s="5">
        <v>58591</v>
      </c>
      <c r="J17" s="5">
        <v>-14584</v>
      </c>
      <c r="K17" s="5">
        <v>-8991</v>
      </c>
      <c r="L17" s="5">
        <v>55689</v>
      </c>
      <c r="M17" s="5">
        <v>115069</v>
      </c>
      <c r="N17" s="5">
        <v>77515</v>
      </c>
    </row>
    <row r="18" spans="3:14" s="3" customFormat="1" x14ac:dyDescent="0.35">
      <c r="C18" s="3" t="s">
        <v>41</v>
      </c>
      <c r="D18" s="6">
        <v>0</v>
      </c>
      <c r="E18" s="6">
        <v>187637</v>
      </c>
      <c r="F18" s="6">
        <v>321569</v>
      </c>
      <c r="G18" s="6">
        <v>229655</v>
      </c>
      <c r="H18" s="6">
        <v>164002</v>
      </c>
      <c r="I18" s="6">
        <v>117257</v>
      </c>
      <c r="J18" s="6">
        <v>117125</v>
      </c>
      <c r="K18" s="6">
        <v>117257</v>
      </c>
      <c r="L18" s="6">
        <v>58563</v>
      </c>
      <c r="M18" s="6">
        <v>0</v>
      </c>
      <c r="N18" s="6">
        <v>0</v>
      </c>
    </row>
    <row r="19" spans="3:14" s="2" customFormat="1" x14ac:dyDescent="0.35">
      <c r="C19" s="2" t="s">
        <v>42</v>
      </c>
      <c r="D19" s="6">
        <v>-1050451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</row>
    <row r="20" spans="3:14" s="3" customFormat="1" x14ac:dyDescent="0.35">
      <c r="C20" s="3" t="s">
        <v>32</v>
      </c>
      <c r="D20" s="6">
        <v>0</v>
      </c>
      <c r="E20" s="6">
        <v>-18128</v>
      </c>
      <c r="F20" s="6">
        <v>-19578</v>
      </c>
      <c r="G20" s="6">
        <v>-21145</v>
      </c>
      <c r="H20" s="6">
        <v>-22836</v>
      </c>
      <c r="I20" s="6">
        <v>-24663</v>
      </c>
      <c r="J20" s="6">
        <v>-26636</v>
      </c>
      <c r="K20" s="6">
        <v>-28767</v>
      </c>
      <c r="L20" s="6">
        <v>-31068</v>
      </c>
      <c r="M20" s="6">
        <v>-33554</v>
      </c>
      <c r="N20" s="6">
        <v>-36238</v>
      </c>
    </row>
    <row r="21" spans="3:14" s="2" customFormat="1" x14ac:dyDescent="0.35">
      <c r="C21" s="2" t="s">
        <v>43</v>
      </c>
      <c r="D21" s="6">
        <v>-810160</v>
      </c>
      <c r="E21" s="6">
        <v>164274</v>
      </c>
      <c r="F21" s="6">
        <v>167444</v>
      </c>
      <c r="G21" s="6">
        <v>144434</v>
      </c>
      <c r="H21" s="6">
        <v>147767</v>
      </c>
      <c r="I21" s="6">
        <v>151185</v>
      </c>
      <c r="J21" s="6">
        <v>75905</v>
      </c>
      <c r="K21" s="6">
        <v>79499</v>
      </c>
      <c r="L21" s="6">
        <v>83184</v>
      </c>
      <c r="M21" s="6">
        <v>81515</v>
      </c>
      <c r="N21" s="6">
        <v>41277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C3:N22"/>
  <sheetViews>
    <sheetView workbookViewId="0"/>
  </sheetViews>
  <sheetFormatPr defaultRowHeight="14.5" x14ac:dyDescent="0.35"/>
  <cols>
    <col min="1" max="2" width="1.54296875" customWidth="1"/>
    <col min="3" max="3" width="38.453125" bestFit="1" customWidth="1"/>
    <col min="4" max="4" width="14.08984375" bestFit="1" customWidth="1"/>
    <col min="5" max="14" width="12.54296875" bestFit="1" customWidth="1"/>
  </cols>
  <sheetData>
    <row r="3" spans="3:14" x14ac:dyDescent="0.35">
      <c r="D3">
        <v>2016</v>
      </c>
      <c r="E3">
        <v>2017</v>
      </c>
      <c r="F3">
        <v>2018</v>
      </c>
      <c r="G3">
        <v>2019</v>
      </c>
      <c r="H3">
        <v>2020</v>
      </c>
      <c r="I3">
        <v>2021</v>
      </c>
      <c r="J3">
        <v>2022</v>
      </c>
      <c r="K3">
        <v>2023</v>
      </c>
      <c r="L3">
        <v>2024</v>
      </c>
      <c r="M3">
        <v>2025</v>
      </c>
      <c r="N3">
        <v>2026</v>
      </c>
    </row>
    <row r="4" spans="3:14" s="3" customFormat="1" x14ac:dyDescent="0.35">
      <c r="C4" s="3" t="s">
        <v>34</v>
      </c>
      <c r="D4" s="6">
        <v>0</v>
      </c>
      <c r="E4" s="6">
        <v>8653</v>
      </c>
      <c r="F4" s="6">
        <v>8869</v>
      </c>
      <c r="G4" s="6">
        <v>9091</v>
      </c>
      <c r="H4" s="6">
        <v>9318</v>
      </c>
      <c r="I4" s="6">
        <v>9551</v>
      </c>
      <c r="J4" s="6">
        <v>9790</v>
      </c>
      <c r="K4" s="6">
        <v>10035</v>
      </c>
      <c r="L4" s="6">
        <v>10285</v>
      </c>
      <c r="M4" s="6">
        <v>10543</v>
      </c>
      <c r="N4" s="6">
        <v>10806</v>
      </c>
    </row>
    <row r="5" spans="3:14" s="3" customFormat="1" x14ac:dyDescent="0.35">
      <c r="C5" s="3" t="s">
        <v>12</v>
      </c>
      <c r="D5" s="6">
        <v>0</v>
      </c>
      <c r="E5" s="6">
        <v>46609</v>
      </c>
      <c r="F5" s="6">
        <v>47774</v>
      </c>
      <c r="G5" s="6">
        <v>48968</v>
      </c>
      <c r="H5" s="6">
        <v>50193</v>
      </c>
      <c r="I5" s="6">
        <v>51447</v>
      </c>
      <c r="J5" s="6">
        <v>52734</v>
      </c>
      <c r="K5" s="6">
        <v>54052</v>
      </c>
      <c r="L5" s="6">
        <v>55403</v>
      </c>
      <c r="M5" s="6">
        <v>56788</v>
      </c>
      <c r="N5" s="6">
        <v>58208</v>
      </c>
    </row>
    <row r="6" spans="3:14" s="3" customFormat="1" x14ac:dyDescent="0.35">
      <c r="C6" s="3" t="s">
        <v>0</v>
      </c>
      <c r="D6" s="6">
        <v>0</v>
      </c>
      <c r="E6" s="6">
        <v>24866</v>
      </c>
      <c r="F6" s="6">
        <v>25487</v>
      </c>
      <c r="G6" s="6">
        <v>26125</v>
      </c>
      <c r="H6" s="6">
        <v>26778</v>
      </c>
      <c r="I6" s="6">
        <v>27447</v>
      </c>
      <c r="J6" s="6">
        <v>28133</v>
      </c>
      <c r="K6" s="6">
        <v>28837</v>
      </c>
      <c r="L6" s="6">
        <v>29557</v>
      </c>
      <c r="M6" s="6">
        <v>30296</v>
      </c>
      <c r="N6" s="6">
        <v>31054</v>
      </c>
    </row>
    <row r="7" spans="3:14" s="3" customFormat="1" x14ac:dyDescent="0.35">
      <c r="C7" s="3" t="s">
        <v>35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</row>
    <row r="8" spans="3:14" s="3" customFormat="1" x14ac:dyDescent="0.35">
      <c r="C8" s="4" t="s">
        <v>33</v>
      </c>
      <c r="D8" s="5">
        <v>0</v>
      </c>
      <c r="E8" s="5">
        <v>80127</v>
      </c>
      <c r="F8" s="5">
        <v>82130</v>
      </c>
      <c r="G8" s="5">
        <v>84184</v>
      </c>
      <c r="H8" s="5">
        <v>86288</v>
      </c>
      <c r="I8" s="5">
        <v>88445</v>
      </c>
      <c r="J8" s="5">
        <v>90657</v>
      </c>
      <c r="K8" s="5">
        <v>92923</v>
      </c>
      <c r="L8" s="5">
        <v>95246</v>
      </c>
      <c r="M8" s="5">
        <v>97627</v>
      </c>
      <c r="N8" s="5">
        <v>100068</v>
      </c>
    </row>
    <row r="9" spans="3:14" s="3" customFormat="1" x14ac:dyDescent="0.35">
      <c r="C9" s="3" t="s">
        <v>27</v>
      </c>
      <c r="D9" s="6">
        <v>0</v>
      </c>
      <c r="E9" s="6">
        <v>-40612</v>
      </c>
      <c r="F9" s="6">
        <v>-41526</v>
      </c>
      <c r="G9" s="6">
        <v>-42460</v>
      </c>
      <c r="H9" s="6">
        <v>-43415</v>
      </c>
      <c r="I9" s="6">
        <v>-44392</v>
      </c>
      <c r="J9" s="6">
        <v>-45391</v>
      </c>
      <c r="K9" s="6">
        <v>-46412</v>
      </c>
      <c r="L9" s="6">
        <v>-47457</v>
      </c>
      <c r="M9" s="6">
        <v>-48525</v>
      </c>
      <c r="N9" s="6">
        <v>-49616</v>
      </c>
    </row>
    <row r="10" spans="3:14" s="3" customFormat="1" x14ac:dyDescent="0.35">
      <c r="C10" s="3" t="s">
        <v>28</v>
      </c>
      <c r="D10" s="6">
        <v>0</v>
      </c>
      <c r="E10" s="6">
        <v>0</v>
      </c>
      <c r="F10" s="6">
        <v>0</v>
      </c>
      <c r="G10" s="6">
        <v>-49852</v>
      </c>
      <c r="H10" s="6">
        <v>-49852</v>
      </c>
      <c r="I10" s="6">
        <v>-49852</v>
      </c>
      <c r="J10" s="6">
        <v>-49852</v>
      </c>
      <c r="K10" s="6">
        <v>-49852</v>
      </c>
      <c r="L10" s="6">
        <v>-49852</v>
      </c>
      <c r="M10" s="6">
        <v>-49852</v>
      </c>
      <c r="N10" s="6">
        <v>-49852</v>
      </c>
    </row>
    <row r="11" spans="3:14" s="3" customFormat="1" x14ac:dyDescent="0.35">
      <c r="C11" s="3" t="s">
        <v>29</v>
      </c>
      <c r="D11" s="6">
        <v>0</v>
      </c>
      <c r="E11" s="6">
        <v>-6129</v>
      </c>
      <c r="F11" s="6">
        <v>-6281</v>
      </c>
      <c r="G11" s="6">
        <v>-6437</v>
      </c>
      <c r="H11" s="6">
        <v>-6596</v>
      </c>
      <c r="I11" s="6">
        <v>-6760</v>
      </c>
      <c r="J11" s="6">
        <v>-6927</v>
      </c>
      <c r="K11" s="6">
        <v>-7099</v>
      </c>
      <c r="L11" s="6">
        <v>-7275</v>
      </c>
      <c r="M11" s="6">
        <v>-7456</v>
      </c>
      <c r="N11" s="6">
        <v>-7641</v>
      </c>
    </row>
    <row r="12" spans="3:14" s="3" customFormat="1" x14ac:dyDescent="0.35">
      <c r="C12" s="4" t="s">
        <v>36</v>
      </c>
      <c r="D12" s="5">
        <v>0</v>
      </c>
      <c r="E12" s="5">
        <v>-46741</v>
      </c>
      <c r="F12" s="5">
        <v>-47807</v>
      </c>
      <c r="G12" s="5">
        <v>-98748</v>
      </c>
      <c r="H12" s="5">
        <v>-99863</v>
      </c>
      <c r="I12" s="5">
        <v>-101004</v>
      </c>
      <c r="J12" s="5">
        <v>-102170</v>
      </c>
      <c r="K12" s="5">
        <v>-103363</v>
      </c>
      <c r="L12" s="5">
        <v>-104584</v>
      </c>
      <c r="M12" s="5">
        <v>-105832</v>
      </c>
      <c r="N12" s="5">
        <v>-107108</v>
      </c>
    </row>
    <row r="13" spans="3:14" s="3" customFormat="1" x14ac:dyDescent="0.35">
      <c r="C13" s="3" t="s">
        <v>30</v>
      </c>
      <c r="D13" s="6">
        <v>0</v>
      </c>
      <c r="E13" s="6">
        <v>33386</v>
      </c>
      <c r="F13" s="6">
        <v>34324</v>
      </c>
      <c r="G13" s="6">
        <v>-14565</v>
      </c>
      <c r="H13" s="6">
        <v>-13575</v>
      </c>
      <c r="I13" s="6">
        <v>-12558</v>
      </c>
      <c r="J13" s="6">
        <v>-11513</v>
      </c>
      <c r="K13" s="6">
        <v>-10440</v>
      </c>
      <c r="L13" s="6">
        <v>-9337</v>
      </c>
      <c r="M13" s="6">
        <v>-8204</v>
      </c>
      <c r="N13" s="6">
        <v>-7041</v>
      </c>
    </row>
    <row r="14" spans="3:14" s="3" customFormat="1" x14ac:dyDescent="0.35">
      <c r="C14" s="3" t="s">
        <v>37</v>
      </c>
      <c r="D14" s="6">
        <v>0</v>
      </c>
      <c r="E14" s="6">
        <v>-356189</v>
      </c>
      <c r="F14" s="6">
        <v>-610432</v>
      </c>
      <c r="G14" s="6">
        <v>-435952</v>
      </c>
      <c r="H14" s="6">
        <v>-311323</v>
      </c>
      <c r="I14" s="6">
        <v>-222587</v>
      </c>
      <c r="J14" s="6">
        <v>-222338</v>
      </c>
      <c r="K14" s="6">
        <v>-222587</v>
      </c>
      <c r="L14" s="6">
        <v>-111169</v>
      </c>
      <c r="M14" s="6">
        <v>0</v>
      </c>
      <c r="N14" s="6">
        <v>0</v>
      </c>
    </row>
    <row r="15" spans="3:14" s="3" customFormat="1" x14ac:dyDescent="0.35">
      <c r="C15" s="3" t="s">
        <v>31</v>
      </c>
      <c r="D15" s="6">
        <v>0</v>
      </c>
      <c r="E15" s="6">
        <v>-322803</v>
      </c>
      <c r="F15" s="6">
        <v>-576109</v>
      </c>
      <c r="G15" s="6">
        <v>-450517</v>
      </c>
      <c r="H15" s="6">
        <v>-324898</v>
      </c>
      <c r="I15" s="6">
        <v>-235145</v>
      </c>
      <c r="J15" s="6">
        <v>-233851</v>
      </c>
      <c r="K15" s="6">
        <v>-233027</v>
      </c>
      <c r="L15" s="6">
        <v>-120506</v>
      </c>
      <c r="M15" s="6">
        <v>-8204</v>
      </c>
      <c r="N15" s="6">
        <v>-7041</v>
      </c>
    </row>
    <row r="16" spans="3:14" s="3" customFormat="1" x14ac:dyDescent="0.35">
      <c r="C16" s="3" t="s">
        <v>38</v>
      </c>
      <c r="D16" s="6">
        <v>0</v>
      </c>
      <c r="E16" s="6">
        <v>-39881</v>
      </c>
      <c r="F16" s="6">
        <v>-37128</v>
      </c>
      <c r="G16" s="6">
        <v>-34155</v>
      </c>
      <c r="H16" s="6">
        <v>-30944</v>
      </c>
      <c r="I16" s="6">
        <v>-27476</v>
      </c>
      <c r="J16" s="6">
        <v>-23731</v>
      </c>
      <c r="K16" s="6">
        <v>-19686</v>
      </c>
      <c r="L16" s="6">
        <v>-15317</v>
      </c>
      <c r="M16" s="6">
        <v>-10599</v>
      </c>
      <c r="N16" s="6">
        <v>-5503</v>
      </c>
    </row>
    <row r="17" spans="3:14" s="3" customFormat="1" x14ac:dyDescent="0.35">
      <c r="C17" s="3" t="s">
        <v>39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</row>
    <row r="18" spans="3:14" s="3" customFormat="1" x14ac:dyDescent="0.35">
      <c r="C18" s="4" t="s">
        <v>40</v>
      </c>
      <c r="D18" s="5">
        <v>0</v>
      </c>
      <c r="E18" s="5">
        <v>-362684</v>
      </c>
      <c r="F18" s="5">
        <v>-613237</v>
      </c>
      <c r="G18" s="5">
        <v>-484672</v>
      </c>
      <c r="H18" s="5">
        <v>-355842</v>
      </c>
      <c r="I18" s="5">
        <v>-262621</v>
      </c>
      <c r="J18" s="5">
        <v>-257582</v>
      </c>
      <c r="K18" s="5">
        <v>-252713</v>
      </c>
      <c r="L18" s="5">
        <v>-135823</v>
      </c>
      <c r="M18" s="5">
        <v>-18803</v>
      </c>
      <c r="N18" s="5">
        <v>-12544</v>
      </c>
    </row>
    <row r="19" spans="3:14" s="3" customFormat="1" x14ac:dyDescent="0.35">
      <c r="C19" s="3" t="s">
        <v>41</v>
      </c>
      <c r="D19" s="6">
        <v>0</v>
      </c>
      <c r="E19" s="6">
        <v>356189</v>
      </c>
      <c r="F19" s="6">
        <v>610432</v>
      </c>
      <c r="G19" s="6">
        <v>435952</v>
      </c>
      <c r="H19" s="6">
        <v>311323</v>
      </c>
      <c r="I19" s="6">
        <v>222587</v>
      </c>
      <c r="J19" s="6">
        <v>222338</v>
      </c>
      <c r="K19" s="6">
        <v>222587</v>
      </c>
      <c r="L19" s="6">
        <v>111169</v>
      </c>
      <c r="M19" s="6">
        <v>0</v>
      </c>
      <c r="N19" s="6">
        <v>0</v>
      </c>
    </row>
    <row r="20" spans="3:14" s="2" customFormat="1" x14ac:dyDescent="0.35">
      <c r="C20" s="2" t="s">
        <v>42</v>
      </c>
      <c r="D20" s="6">
        <v>-1994063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</row>
    <row r="21" spans="3:14" s="3" customFormat="1" x14ac:dyDescent="0.35">
      <c r="C21" s="3" t="s">
        <v>32</v>
      </c>
      <c r="D21" s="6">
        <v>0</v>
      </c>
      <c r="E21" s="6">
        <v>-34412</v>
      </c>
      <c r="F21" s="6">
        <v>-37165</v>
      </c>
      <c r="G21" s="6">
        <v>-40138</v>
      </c>
      <c r="H21" s="6">
        <v>-43350</v>
      </c>
      <c r="I21" s="6">
        <v>-46818</v>
      </c>
      <c r="J21" s="6">
        <v>-50563</v>
      </c>
      <c r="K21" s="6">
        <v>-54608</v>
      </c>
      <c r="L21" s="6">
        <v>-58977</v>
      </c>
      <c r="M21" s="6">
        <v>-63695</v>
      </c>
      <c r="N21" s="6">
        <v>-68790</v>
      </c>
    </row>
    <row r="22" spans="3:14" s="2" customFormat="1" x14ac:dyDescent="0.35">
      <c r="C22" s="2" t="s">
        <v>43</v>
      </c>
      <c r="D22" s="6">
        <v>-1994063</v>
      </c>
      <c r="E22" s="6">
        <v>-40907</v>
      </c>
      <c r="F22" s="6">
        <v>-39970</v>
      </c>
      <c r="G22" s="6">
        <v>-88858</v>
      </c>
      <c r="H22" s="6">
        <v>-87868</v>
      </c>
      <c r="I22" s="6">
        <v>-86852</v>
      </c>
      <c r="J22" s="6">
        <v>-85807</v>
      </c>
      <c r="K22" s="6">
        <v>-84734</v>
      </c>
      <c r="L22" s="6">
        <v>-83631</v>
      </c>
      <c r="M22" s="6">
        <v>-82498</v>
      </c>
      <c r="N22" s="6">
        <v>-81334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sqref="A1:L20"/>
    </sheetView>
  </sheetViews>
  <sheetFormatPr defaultRowHeight="14.5" x14ac:dyDescent="0.35"/>
  <cols>
    <col min="1" max="1" width="38.453125" bestFit="1" customWidth="1"/>
    <col min="2" max="2" width="9.36328125" bestFit="1" customWidth="1"/>
    <col min="3" max="7" width="10.54296875" bestFit="1" customWidth="1"/>
    <col min="8" max="12" width="10.6328125" bestFit="1" customWidth="1"/>
  </cols>
  <sheetData>
    <row r="1" spans="1:12" x14ac:dyDescent="0.35">
      <c r="B1">
        <v>2016</v>
      </c>
      <c r="C1">
        <v>2017</v>
      </c>
      <c r="D1">
        <v>2018</v>
      </c>
      <c r="E1">
        <v>2019</v>
      </c>
      <c r="F1">
        <v>2020</v>
      </c>
      <c r="G1">
        <v>2021</v>
      </c>
      <c r="H1">
        <v>2022</v>
      </c>
      <c r="I1">
        <v>2023</v>
      </c>
      <c r="J1">
        <v>2024</v>
      </c>
      <c r="K1">
        <v>2025</v>
      </c>
      <c r="L1">
        <v>2026</v>
      </c>
    </row>
    <row r="2" spans="1:12" s="2" customFormat="1" x14ac:dyDescent="0.35">
      <c r="A2" s="7" t="s">
        <v>33</v>
      </c>
      <c r="B2" s="7">
        <v>1218697</v>
      </c>
      <c r="C2" s="7">
        <v>354163</v>
      </c>
      <c r="D2" s="7">
        <v>363017</v>
      </c>
      <c r="E2" s="7">
        <v>372093</v>
      </c>
      <c r="F2" s="7">
        <v>381395</v>
      </c>
      <c r="G2" s="7">
        <v>390930</v>
      </c>
      <c r="H2" s="7">
        <v>400703</v>
      </c>
      <c r="I2" s="7">
        <v>410721</v>
      </c>
      <c r="J2" s="7">
        <v>420989</v>
      </c>
      <c r="K2" s="7">
        <v>431513</v>
      </c>
      <c r="L2" s="7">
        <v>442301</v>
      </c>
    </row>
    <row r="3" spans="1:12" s="3" customFormat="1" x14ac:dyDescent="0.35">
      <c r="A3" s="3" t="s">
        <v>158</v>
      </c>
      <c r="B3" s="3">
        <v>0</v>
      </c>
      <c r="C3" s="3">
        <v>108205</v>
      </c>
      <c r="D3" s="3">
        <v>110910</v>
      </c>
      <c r="E3" s="3">
        <v>113683</v>
      </c>
      <c r="F3" s="3">
        <v>116525</v>
      </c>
      <c r="G3" s="3">
        <v>119438</v>
      </c>
      <c r="H3" s="3">
        <v>122424</v>
      </c>
      <c r="I3" s="3">
        <v>125485</v>
      </c>
      <c r="J3" s="3">
        <v>128622</v>
      </c>
      <c r="K3" s="3">
        <v>131837</v>
      </c>
      <c r="L3" s="3">
        <v>135133</v>
      </c>
    </row>
    <row r="4" spans="1:12" s="3" customFormat="1" x14ac:dyDescent="0.35">
      <c r="A4" s="3" t="s">
        <v>12</v>
      </c>
      <c r="B4" s="3">
        <v>0</v>
      </c>
      <c r="C4" s="3">
        <v>245958</v>
      </c>
      <c r="D4" s="3">
        <v>252107</v>
      </c>
      <c r="E4" s="3">
        <v>258410</v>
      </c>
      <c r="F4" s="3">
        <v>264870</v>
      </c>
      <c r="G4" s="3">
        <v>271492</v>
      </c>
      <c r="H4" s="3">
        <v>278279</v>
      </c>
      <c r="I4" s="3">
        <v>285236</v>
      </c>
      <c r="J4" s="3">
        <v>292367</v>
      </c>
      <c r="K4" s="3">
        <v>299676</v>
      </c>
      <c r="L4" s="3">
        <v>307168</v>
      </c>
    </row>
    <row r="5" spans="1:12" s="3" customFormat="1" x14ac:dyDescent="0.35">
      <c r="A5" s="3" t="s">
        <v>0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</row>
    <row r="6" spans="1:12" s="2" customFormat="1" x14ac:dyDescent="0.35">
      <c r="A6" s="2" t="s">
        <v>35</v>
      </c>
      <c r="B6" s="2">
        <v>1218697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</row>
    <row r="7" spans="1:12" s="3" customFormat="1" x14ac:dyDescent="0.35">
      <c r="A7" s="4" t="s">
        <v>36</v>
      </c>
      <c r="B7" s="4">
        <v>0</v>
      </c>
      <c r="C7" s="4">
        <v>-46591</v>
      </c>
      <c r="D7" s="4">
        <v>-47657</v>
      </c>
      <c r="E7" s="4">
        <v>-97496</v>
      </c>
      <c r="F7" s="4">
        <v>-98612</v>
      </c>
      <c r="G7" s="4">
        <v>-99753</v>
      </c>
      <c r="H7" s="4">
        <v>-100920</v>
      </c>
      <c r="I7" s="4">
        <v>-102114</v>
      </c>
      <c r="J7" s="4">
        <v>-103336</v>
      </c>
      <c r="K7" s="4">
        <v>-104585</v>
      </c>
      <c r="L7" s="4">
        <v>-105864</v>
      </c>
    </row>
    <row r="8" spans="1:12" s="3" customFormat="1" x14ac:dyDescent="0.35">
      <c r="A8" s="3" t="s">
        <v>159</v>
      </c>
      <c r="B8" s="3">
        <v>0</v>
      </c>
      <c r="C8" s="3">
        <v>-38793</v>
      </c>
      <c r="D8" s="3">
        <v>-39666</v>
      </c>
      <c r="E8" s="3">
        <v>-40558</v>
      </c>
      <c r="F8" s="3">
        <v>-41471</v>
      </c>
      <c r="G8" s="3">
        <v>-42404</v>
      </c>
      <c r="H8" s="3">
        <v>-43358</v>
      </c>
      <c r="I8" s="3">
        <v>-44333</v>
      </c>
      <c r="J8" s="3">
        <v>-45331</v>
      </c>
      <c r="K8" s="3">
        <v>-46351</v>
      </c>
      <c r="L8" s="3">
        <v>-47394</v>
      </c>
    </row>
    <row r="9" spans="1:12" s="3" customFormat="1" x14ac:dyDescent="0.35">
      <c r="A9" s="3" t="s">
        <v>28</v>
      </c>
      <c r="B9" s="3">
        <v>0</v>
      </c>
      <c r="C9" s="3">
        <v>0</v>
      </c>
      <c r="D9" s="3">
        <v>0</v>
      </c>
      <c r="E9" s="3">
        <v>-48748</v>
      </c>
      <c r="F9" s="3">
        <v>-48748</v>
      </c>
      <c r="G9" s="3">
        <v>-48748</v>
      </c>
      <c r="H9" s="3">
        <v>-48748</v>
      </c>
      <c r="I9" s="3">
        <v>-48748</v>
      </c>
      <c r="J9" s="3">
        <v>-48748</v>
      </c>
      <c r="K9" s="3">
        <v>-48748</v>
      </c>
      <c r="L9" s="3">
        <v>-48748</v>
      </c>
    </row>
    <row r="10" spans="1:12" s="3" customFormat="1" x14ac:dyDescent="0.35">
      <c r="A10" s="3" t="s">
        <v>29</v>
      </c>
      <c r="B10" s="3">
        <v>0</v>
      </c>
      <c r="C10" s="3">
        <v>-7798</v>
      </c>
      <c r="D10" s="3">
        <v>-7992</v>
      </c>
      <c r="E10" s="3">
        <v>-8190</v>
      </c>
      <c r="F10" s="3">
        <v>-8393</v>
      </c>
      <c r="G10" s="3">
        <v>-8601</v>
      </c>
      <c r="H10" s="3">
        <v>-8814</v>
      </c>
      <c r="I10" s="3">
        <v>-9033</v>
      </c>
      <c r="J10" s="3">
        <v>-9257</v>
      </c>
      <c r="K10" s="3">
        <v>-9487</v>
      </c>
      <c r="L10" s="3">
        <v>-9722</v>
      </c>
    </row>
    <row r="11" spans="1:12" s="2" customFormat="1" x14ac:dyDescent="0.35">
      <c r="A11" s="2" t="s">
        <v>30</v>
      </c>
      <c r="B11" s="2">
        <v>1218697</v>
      </c>
      <c r="C11" s="2">
        <v>307572</v>
      </c>
      <c r="D11" s="2">
        <v>315360</v>
      </c>
      <c r="E11" s="2">
        <v>274597</v>
      </c>
      <c r="F11" s="2">
        <v>282783</v>
      </c>
      <c r="G11" s="2">
        <v>291177</v>
      </c>
      <c r="H11" s="2">
        <v>299783</v>
      </c>
      <c r="I11" s="2">
        <v>308606</v>
      </c>
      <c r="J11" s="2">
        <v>317653</v>
      </c>
      <c r="K11" s="2">
        <v>326928</v>
      </c>
      <c r="L11" s="2">
        <v>336437</v>
      </c>
    </row>
    <row r="12" spans="1:12" s="3" customFormat="1" x14ac:dyDescent="0.35">
      <c r="A12" s="3" t="s">
        <v>37</v>
      </c>
      <c r="B12" s="3">
        <v>0</v>
      </c>
      <c r="C12" s="3">
        <v>-348304</v>
      </c>
      <c r="D12" s="3">
        <v>-596918</v>
      </c>
      <c r="E12" s="3">
        <v>-426300</v>
      </c>
      <c r="F12" s="3">
        <v>-304431</v>
      </c>
      <c r="G12" s="3">
        <v>-217659</v>
      </c>
      <c r="H12" s="3">
        <v>-217416</v>
      </c>
      <c r="I12" s="3">
        <v>-217659</v>
      </c>
      <c r="J12" s="3">
        <v>-108708</v>
      </c>
      <c r="K12" s="3">
        <v>0</v>
      </c>
      <c r="L12" s="3">
        <v>0</v>
      </c>
    </row>
    <row r="13" spans="1:12" s="2" customFormat="1" x14ac:dyDescent="0.35">
      <c r="A13" s="2" t="s">
        <v>31</v>
      </c>
      <c r="B13" s="2">
        <v>1218697</v>
      </c>
      <c r="C13" s="2">
        <v>-40732</v>
      </c>
      <c r="D13" s="2">
        <v>-281558</v>
      </c>
      <c r="E13" s="2">
        <v>-151704</v>
      </c>
      <c r="F13" s="2">
        <v>-21647</v>
      </c>
      <c r="G13" s="2">
        <v>73518</v>
      </c>
      <c r="H13" s="2">
        <v>82367</v>
      </c>
      <c r="I13" s="2">
        <v>90947</v>
      </c>
      <c r="J13" s="2">
        <v>208945</v>
      </c>
      <c r="K13" s="2">
        <v>326928</v>
      </c>
      <c r="L13" s="2">
        <v>336437</v>
      </c>
    </row>
    <row r="14" spans="1:12" s="3" customFormat="1" x14ac:dyDescent="0.35">
      <c r="A14" s="3" t="s">
        <v>38</v>
      </c>
      <c r="B14" s="3">
        <v>0</v>
      </c>
      <c r="C14" s="3">
        <v>-38998</v>
      </c>
      <c r="D14" s="3">
        <v>-36306</v>
      </c>
      <c r="E14" s="3">
        <v>-33399</v>
      </c>
      <c r="F14" s="3">
        <v>-30259</v>
      </c>
      <c r="G14" s="3">
        <v>-26868</v>
      </c>
      <c r="H14" s="3">
        <v>-23205</v>
      </c>
      <c r="I14" s="3">
        <v>-19250</v>
      </c>
      <c r="J14" s="3">
        <v>-14978</v>
      </c>
      <c r="K14" s="3">
        <v>-10364</v>
      </c>
      <c r="L14" s="3">
        <v>-5381</v>
      </c>
    </row>
    <row r="15" spans="1:12" s="2" customFormat="1" x14ac:dyDescent="0.35">
      <c r="A15" s="2" t="s">
        <v>39</v>
      </c>
      <c r="B15" s="2">
        <v>-475292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-20840</v>
      </c>
      <c r="L15" s="2">
        <v>-129112</v>
      </c>
    </row>
    <row r="16" spans="1:12" s="2" customFormat="1" x14ac:dyDescent="0.35">
      <c r="A16" s="7" t="s">
        <v>40</v>
      </c>
      <c r="B16" s="7">
        <v>743405</v>
      </c>
      <c r="C16" s="7">
        <v>-79730</v>
      </c>
      <c r="D16" s="7">
        <v>-317864</v>
      </c>
      <c r="E16" s="7">
        <v>-185103</v>
      </c>
      <c r="F16" s="7">
        <v>-51906</v>
      </c>
      <c r="G16" s="7">
        <v>46650</v>
      </c>
      <c r="H16" s="7">
        <v>59162</v>
      </c>
      <c r="I16" s="7">
        <v>71697</v>
      </c>
      <c r="J16" s="7">
        <v>193967</v>
      </c>
      <c r="K16" s="7">
        <v>295724</v>
      </c>
      <c r="L16" s="7">
        <v>201944</v>
      </c>
    </row>
    <row r="17" spans="1:12" s="3" customFormat="1" x14ac:dyDescent="0.35">
      <c r="A17" s="3" t="s">
        <v>41</v>
      </c>
      <c r="B17" s="3">
        <v>0</v>
      </c>
      <c r="C17" s="3">
        <v>348304</v>
      </c>
      <c r="D17" s="3">
        <v>596918</v>
      </c>
      <c r="E17" s="3">
        <v>426300</v>
      </c>
      <c r="F17" s="3">
        <v>304431</v>
      </c>
      <c r="G17" s="3">
        <v>217659</v>
      </c>
      <c r="H17" s="3">
        <v>217416</v>
      </c>
      <c r="I17" s="3">
        <v>217659</v>
      </c>
      <c r="J17" s="3">
        <v>108708</v>
      </c>
      <c r="K17" s="3">
        <v>0</v>
      </c>
      <c r="L17" s="3">
        <v>0</v>
      </c>
    </row>
    <row r="18" spans="1:12" s="2" customFormat="1" x14ac:dyDescent="0.35">
      <c r="A18" s="2" t="s">
        <v>42</v>
      </c>
      <c r="B18" s="2">
        <v>-1949915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</row>
    <row r="19" spans="1:12" s="3" customFormat="1" x14ac:dyDescent="0.35">
      <c r="A19" s="3" t="s">
        <v>32</v>
      </c>
      <c r="B19" s="3">
        <v>0</v>
      </c>
      <c r="C19" s="3">
        <v>-33650</v>
      </c>
      <c r="D19" s="3">
        <v>-36342</v>
      </c>
      <c r="E19" s="3">
        <v>-39250</v>
      </c>
      <c r="F19" s="3">
        <v>-42390</v>
      </c>
      <c r="G19" s="3">
        <v>-45781</v>
      </c>
      <c r="H19" s="3">
        <v>-49443</v>
      </c>
      <c r="I19" s="3">
        <v>-53399</v>
      </c>
      <c r="J19" s="3">
        <v>-57671</v>
      </c>
      <c r="K19" s="3">
        <v>-62285</v>
      </c>
      <c r="L19" s="3">
        <v>-67267</v>
      </c>
    </row>
    <row r="20" spans="1:12" s="2" customFormat="1" x14ac:dyDescent="0.35">
      <c r="A20" s="2" t="s">
        <v>43</v>
      </c>
      <c r="B20" s="2">
        <v>-1206510</v>
      </c>
      <c r="C20" s="2">
        <v>234923</v>
      </c>
      <c r="D20" s="2">
        <v>242711</v>
      </c>
      <c r="E20" s="2">
        <v>201948</v>
      </c>
      <c r="F20" s="2">
        <v>210134</v>
      </c>
      <c r="G20" s="2">
        <v>218528</v>
      </c>
      <c r="H20" s="2">
        <v>227134</v>
      </c>
      <c r="I20" s="2">
        <v>235957</v>
      </c>
      <c r="J20" s="2">
        <v>245004</v>
      </c>
      <c r="K20" s="2">
        <v>233439</v>
      </c>
      <c r="L20" s="2">
        <v>134677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20"/>
  <sheetViews>
    <sheetView workbookViewId="0"/>
  </sheetViews>
  <sheetFormatPr defaultRowHeight="14.5" x14ac:dyDescent="0.35"/>
  <cols>
    <col min="1" max="2" width="2.36328125" customWidth="1"/>
    <col min="3" max="3" width="38.453125" bestFit="1" customWidth="1"/>
    <col min="4" max="4" width="9.36328125" bestFit="1" customWidth="1"/>
    <col min="5" max="9" width="10.54296875" bestFit="1" customWidth="1"/>
    <col min="10" max="14" width="10.6328125" bestFit="1" customWidth="1"/>
  </cols>
  <sheetData>
    <row r="1" spans="3:14" x14ac:dyDescent="0.35">
      <c r="D1">
        <v>2016</v>
      </c>
      <c r="E1">
        <v>2017</v>
      </c>
      <c r="F1">
        <v>2018</v>
      </c>
      <c r="G1">
        <v>2019</v>
      </c>
      <c r="H1">
        <v>2020</v>
      </c>
      <c r="I1">
        <v>2021</v>
      </c>
      <c r="J1">
        <v>2022</v>
      </c>
      <c r="K1">
        <v>2023</v>
      </c>
      <c r="L1">
        <v>2024</v>
      </c>
      <c r="M1">
        <v>2025</v>
      </c>
      <c r="N1">
        <v>2026</v>
      </c>
    </row>
    <row r="2" spans="3:14" s="3" customFormat="1" x14ac:dyDescent="0.35">
      <c r="C2" s="3" t="s">
        <v>34</v>
      </c>
      <c r="D2" s="3">
        <v>0</v>
      </c>
      <c r="E2" s="3">
        <v>108205</v>
      </c>
      <c r="F2" s="3">
        <v>110910</v>
      </c>
      <c r="G2" s="3">
        <v>113683</v>
      </c>
      <c r="H2" s="3">
        <v>116525</v>
      </c>
      <c r="I2" s="3">
        <v>119438</v>
      </c>
      <c r="J2" s="3">
        <v>122424</v>
      </c>
      <c r="K2" s="3">
        <v>125485</v>
      </c>
      <c r="L2" s="3">
        <v>128622</v>
      </c>
      <c r="M2" s="3">
        <v>131837</v>
      </c>
      <c r="N2" s="3">
        <v>135133</v>
      </c>
    </row>
    <row r="3" spans="3:14" s="3" customFormat="1" x14ac:dyDescent="0.35">
      <c r="C3" s="3" t="s">
        <v>12</v>
      </c>
      <c r="D3" s="3">
        <v>0</v>
      </c>
      <c r="E3" s="3">
        <v>245958</v>
      </c>
      <c r="F3" s="3">
        <v>252107</v>
      </c>
      <c r="G3" s="3">
        <v>258410</v>
      </c>
      <c r="H3" s="3">
        <v>264870</v>
      </c>
      <c r="I3" s="3">
        <v>271492</v>
      </c>
      <c r="J3" s="3">
        <v>278279</v>
      </c>
      <c r="K3" s="3">
        <v>285236</v>
      </c>
      <c r="L3" s="3">
        <v>292367</v>
      </c>
      <c r="M3" s="3">
        <v>299676</v>
      </c>
      <c r="N3" s="3">
        <v>307168</v>
      </c>
    </row>
    <row r="4" spans="3:14" s="3" customFormat="1" x14ac:dyDescent="0.35">
      <c r="C4" s="3" t="s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</row>
    <row r="5" spans="3:14" s="2" customFormat="1" x14ac:dyDescent="0.35">
      <c r="C5" s="2" t="s">
        <v>35</v>
      </c>
      <c r="D5" s="2">
        <v>1218697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</row>
    <row r="6" spans="3:14" s="2" customFormat="1" x14ac:dyDescent="0.35">
      <c r="C6" s="7" t="s">
        <v>33</v>
      </c>
      <c r="D6" s="7">
        <v>1218697</v>
      </c>
      <c r="E6" s="7">
        <v>354163</v>
      </c>
      <c r="F6" s="7">
        <v>363017</v>
      </c>
      <c r="G6" s="7">
        <v>372093</v>
      </c>
      <c r="H6" s="7">
        <v>381395</v>
      </c>
      <c r="I6" s="7">
        <v>390930</v>
      </c>
      <c r="J6" s="7">
        <v>400703</v>
      </c>
      <c r="K6" s="7">
        <v>410721</v>
      </c>
      <c r="L6" s="7">
        <v>420989</v>
      </c>
      <c r="M6" s="7">
        <v>431513</v>
      </c>
      <c r="N6" s="7">
        <v>442301</v>
      </c>
    </row>
    <row r="7" spans="3:14" s="3" customFormat="1" x14ac:dyDescent="0.35">
      <c r="C7" s="3" t="s">
        <v>27</v>
      </c>
      <c r="D7" s="3">
        <v>0</v>
      </c>
      <c r="E7" s="3">
        <v>-38793</v>
      </c>
      <c r="F7" s="3">
        <v>-39666</v>
      </c>
      <c r="G7" s="3">
        <v>-40558</v>
      </c>
      <c r="H7" s="3">
        <v>-41471</v>
      </c>
      <c r="I7" s="3">
        <v>-42404</v>
      </c>
      <c r="J7" s="3">
        <v>-43358</v>
      </c>
      <c r="K7" s="3">
        <v>-44333</v>
      </c>
      <c r="L7" s="3">
        <v>-45331</v>
      </c>
      <c r="M7" s="3">
        <v>-46351</v>
      </c>
      <c r="N7" s="3">
        <v>-47394</v>
      </c>
    </row>
    <row r="8" spans="3:14" s="3" customFormat="1" x14ac:dyDescent="0.35">
      <c r="C8" s="3" t="s">
        <v>28</v>
      </c>
      <c r="D8" s="3">
        <v>0</v>
      </c>
      <c r="E8" s="3">
        <v>0</v>
      </c>
      <c r="F8" s="3">
        <v>0</v>
      </c>
      <c r="G8" s="3">
        <v>-48748</v>
      </c>
      <c r="H8" s="3">
        <v>-48748</v>
      </c>
      <c r="I8" s="3">
        <v>-48748</v>
      </c>
      <c r="J8" s="3">
        <v>-48748</v>
      </c>
      <c r="K8" s="3">
        <v>-48748</v>
      </c>
      <c r="L8" s="3">
        <v>-48748</v>
      </c>
      <c r="M8" s="3">
        <v>-48748</v>
      </c>
      <c r="N8" s="3">
        <v>-48748</v>
      </c>
    </row>
    <row r="9" spans="3:14" s="3" customFormat="1" x14ac:dyDescent="0.35">
      <c r="C9" s="3" t="s">
        <v>29</v>
      </c>
      <c r="D9" s="3">
        <v>0</v>
      </c>
      <c r="E9" s="3">
        <v>-7798</v>
      </c>
      <c r="F9" s="3">
        <v>-7992</v>
      </c>
      <c r="G9" s="3">
        <v>-8190</v>
      </c>
      <c r="H9" s="3">
        <v>-8393</v>
      </c>
      <c r="I9" s="3">
        <v>-8601</v>
      </c>
      <c r="J9" s="3">
        <v>-8814</v>
      </c>
      <c r="K9" s="3">
        <v>-9033</v>
      </c>
      <c r="L9" s="3">
        <v>-9257</v>
      </c>
      <c r="M9" s="3">
        <v>-9487</v>
      </c>
      <c r="N9" s="3">
        <v>-9722</v>
      </c>
    </row>
    <row r="10" spans="3:14" s="3" customFormat="1" x14ac:dyDescent="0.35">
      <c r="C10" s="4" t="s">
        <v>36</v>
      </c>
      <c r="D10" s="4">
        <v>0</v>
      </c>
      <c r="E10" s="4">
        <v>-46591</v>
      </c>
      <c r="F10" s="4">
        <v>-47657</v>
      </c>
      <c r="G10" s="4">
        <v>-97496</v>
      </c>
      <c r="H10" s="4">
        <v>-98612</v>
      </c>
      <c r="I10" s="4">
        <v>-99753</v>
      </c>
      <c r="J10" s="4">
        <v>-100920</v>
      </c>
      <c r="K10" s="4">
        <v>-102114</v>
      </c>
      <c r="L10" s="4">
        <v>-103336</v>
      </c>
      <c r="M10" s="4">
        <v>-104585</v>
      </c>
      <c r="N10" s="4">
        <v>-105864</v>
      </c>
    </row>
    <row r="11" spans="3:14" s="2" customFormat="1" x14ac:dyDescent="0.35">
      <c r="C11" s="2" t="s">
        <v>30</v>
      </c>
      <c r="D11" s="2">
        <v>1218697</v>
      </c>
      <c r="E11" s="2">
        <v>307572</v>
      </c>
      <c r="F11" s="2">
        <v>315360</v>
      </c>
      <c r="G11" s="2">
        <v>274597</v>
      </c>
      <c r="H11" s="2">
        <v>282783</v>
      </c>
      <c r="I11" s="2">
        <v>291177</v>
      </c>
      <c r="J11" s="2">
        <v>299783</v>
      </c>
      <c r="K11" s="2">
        <v>308606</v>
      </c>
      <c r="L11" s="2">
        <v>317653</v>
      </c>
      <c r="M11" s="2">
        <v>326928</v>
      </c>
      <c r="N11" s="2">
        <v>336437</v>
      </c>
    </row>
    <row r="12" spans="3:14" s="3" customFormat="1" x14ac:dyDescent="0.35">
      <c r="C12" s="3" t="s">
        <v>37</v>
      </c>
      <c r="D12" s="3">
        <v>0</v>
      </c>
      <c r="E12" s="3">
        <v>-348304</v>
      </c>
      <c r="F12" s="3">
        <v>-596918</v>
      </c>
      <c r="G12" s="3">
        <v>-426300</v>
      </c>
      <c r="H12" s="3">
        <v>-304431</v>
      </c>
      <c r="I12" s="3">
        <v>-217659</v>
      </c>
      <c r="J12" s="3">
        <v>-217416</v>
      </c>
      <c r="K12" s="3">
        <v>-217659</v>
      </c>
      <c r="L12" s="3">
        <v>-108708</v>
      </c>
      <c r="M12" s="3">
        <v>0</v>
      </c>
      <c r="N12" s="3">
        <v>0</v>
      </c>
    </row>
    <row r="13" spans="3:14" s="2" customFormat="1" x14ac:dyDescent="0.35">
      <c r="C13" s="2" t="s">
        <v>31</v>
      </c>
      <c r="D13" s="2">
        <v>1218697</v>
      </c>
      <c r="E13" s="2">
        <v>-40732</v>
      </c>
      <c r="F13" s="2">
        <v>-281558</v>
      </c>
      <c r="G13" s="2">
        <v>-151704</v>
      </c>
      <c r="H13" s="2">
        <v>-21647</v>
      </c>
      <c r="I13" s="2">
        <v>73518</v>
      </c>
      <c r="J13" s="2">
        <v>82367</v>
      </c>
      <c r="K13" s="2">
        <v>90947</v>
      </c>
      <c r="L13" s="2">
        <v>208945</v>
      </c>
      <c r="M13" s="2">
        <v>326928</v>
      </c>
      <c r="N13" s="2">
        <v>336437</v>
      </c>
    </row>
    <row r="14" spans="3:14" s="3" customFormat="1" x14ac:dyDescent="0.35">
      <c r="C14" s="3" t="s">
        <v>38</v>
      </c>
      <c r="D14" s="3">
        <v>0</v>
      </c>
      <c r="E14" s="3">
        <v>-38998</v>
      </c>
      <c r="F14" s="3">
        <v>-36306</v>
      </c>
      <c r="G14" s="3">
        <v>-33399</v>
      </c>
      <c r="H14" s="3">
        <v>-30259</v>
      </c>
      <c r="I14" s="3">
        <v>-26868</v>
      </c>
      <c r="J14" s="3">
        <v>-23205</v>
      </c>
      <c r="K14" s="3">
        <v>-19250</v>
      </c>
      <c r="L14" s="3">
        <v>-14978</v>
      </c>
      <c r="M14" s="3">
        <v>-10364</v>
      </c>
      <c r="N14" s="3">
        <v>-5381</v>
      </c>
    </row>
    <row r="15" spans="3:14" s="2" customFormat="1" x14ac:dyDescent="0.35">
      <c r="C15" s="2" t="s">
        <v>39</v>
      </c>
      <c r="D15" s="2">
        <v>-475292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-20840</v>
      </c>
      <c r="N15" s="2">
        <v>-129112</v>
      </c>
    </row>
    <row r="16" spans="3:14" s="2" customFormat="1" x14ac:dyDescent="0.35">
      <c r="C16" s="7" t="s">
        <v>40</v>
      </c>
      <c r="D16" s="7">
        <v>743405</v>
      </c>
      <c r="E16" s="7">
        <v>-79730</v>
      </c>
      <c r="F16" s="7">
        <v>-317864</v>
      </c>
      <c r="G16" s="7">
        <v>-185103</v>
      </c>
      <c r="H16" s="7">
        <v>-51906</v>
      </c>
      <c r="I16" s="7">
        <v>46650</v>
      </c>
      <c r="J16" s="7">
        <v>59162</v>
      </c>
      <c r="K16" s="7">
        <v>71697</v>
      </c>
      <c r="L16" s="7">
        <v>193967</v>
      </c>
      <c r="M16" s="7">
        <v>295724</v>
      </c>
      <c r="N16" s="7">
        <v>201944</v>
      </c>
    </row>
    <row r="17" spans="3:14" s="3" customFormat="1" x14ac:dyDescent="0.35">
      <c r="C17" s="3" t="s">
        <v>41</v>
      </c>
      <c r="D17" s="3">
        <v>0</v>
      </c>
      <c r="E17" s="3">
        <v>348304</v>
      </c>
      <c r="F17" s="3">
        <v>596918</v>
      </c>
      <c r="G17" s="3">
        <v>426300</v>
      </c>
      <c r="H17" s="3">
        <v>304431</v>
      </c>
      <c r="I17" s="3">
        <v>217659</v>
      </c>
      <c r="J17" s="3">
        <v>217416</v>
      </c>
      <c r="K17" s="3">
        <v>217659</v>
      </c>
      <c r="L17" s="3">
        <v>108708</v>
      </c>
      <c r="M17" s="3">
        <v>0</v>
      </c>
      <c r="N17" s="3">
        <v>0</v>
      </c>
    </row>
    <row r="18" spans="3:14" s="2" customFormat="1" x14ac:dyDescent="0.35">
      <c r="C18" s="2" t="s">
        <v>42</v>
      </c>
      <c r="D18" s="2">
        <v>-1949915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</row>
    <row r="19" spans="3:14" s="3" customFormat="1" x14ac:dyDescent="0.35">
      <c r="C19" s="3" t="s">
        <v>32</v>
      </c>
      <c r="D19" s="3">
        <v>0</v>
      </c>
      <c r="E19" s="3">
        <v>-33650</v>
      </c>
      <c r="F19" s="3">
        <v>-36342</v>
      </c>
      <c r="G19" s="3">
        <v>-39250</v>
      </c>
      <c r="H19" s="3">
        <v>-42390</v>
      </c>
      <c r="I19" s="3">
        <v>-45781</v>
      </c>
      <c r="J19" s="3">
        <v>-49443</v>
      </c>
      <c r="K19" s="3">
        <v>-53399</v>
      </c>
      <c r="L19" s="3">
        <v>-57671</v>
      </c>
      <c r="M19" s="3">
        <v>-62285</v>
      </c>
      <c r="N19" s="3">
        <v>-67267</v>
      </c>
    </row>
    <row r="20" spans="3:14" s="2" customFormat="1" x14ac:dyDescent="0.35">
      <c r="C20" s="2" t="s">
        <v>43</v>
      </c>
      <c r="D20" s="2">
        <v>-1206510</v>
      </c>
      <c r="E20" s="2">
        <v>234923</v>
      </c>
      <c r="F20" s="2">
        <v>242711</v>
      </c>
      <c r="G20" s="2">
        <v>201948</v>
      </c>
      <c r="H20" s="2">
        <v>210134</v>
      </c>
      <c r="I20" s="2">
        <v>218528</v>
      </c>
      <c r="J20" s="2">
        <v>227134</v>
      </c>
      <c r="K20" s="2">
        <v>235957</v>
      </c>
      <c r="L20" s="2">
        <v>245004</v>
      </c>
      <c r="M20" s="2">
        <v>233439</v>
      </c>
      <c r="N20" s="2">
        <v>134677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topLeftCell="A11" workbookViewId="0">
      <selection activeCell="O21" sqref="O21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F16"/>
  <sheetViews>
    <sheetView topLeftCell="A11" workbookViewId="0">
      <selection activeCell="B31" sqref="B31"/>
    </sheetView>
  </sheetViews>
  <sheetFormatPr defaultRowHeight="14.5" x14ac:dyDescent="0.35"/>
  <cols>
    <col min="1" max="1" width="47.54296875" bestFit="1" customWidth="1"/>
  </cols>
  <sheetData>
    <row r="2" spans="1:6" x14ac:dyDescent="0.35">
      <c r="B2" t="s">
        <v>15</v>
      </c>
      <c r="C2" t="s">
        <v>14</v>
      </c>
      <c r="D2" t="s">
        <v>5</v>
      </c>
      <c r="E2" t="s">
        <v>4</v>
      </c>
      <c r="F2" t="s">
        <v>15</v>
      </c>
    </row>
    <row r="3" spans="1:6" x14ac:dyDescent="0.35">
      <c r="B3" t="s">
        <v>5</v>
      </c>
      <c r="C3" t="s">
        <v>3</v>
      </c>
      <c r="D3" t="s">
        <v>15</v>
      </c>
      <c r="E3" t="s">
        <v>14</v>
      </c>
      <c r="F3" t="s">
        <v>5</v>
      </c>
    </row>
    <row r="4" spans="1:6" x14ac:dyDescent="0.35">
      <c r="B4" t="s">
        <v>14</v>
      </c>
      <c r="C4" t="s">
        <v>20</v>
      </c>
      <c r="D4" t="s">
        <v>5</v>
      </c>
      <c r="E4" t="s">
        <v>3</v>
      </c>
      <c r="F4" t="s">
        <v>14</v>
      </c>
    </row>
    <row r="5" spans="1:6" x14ac:dyDescent="0.35">
      <c r="B5" t="s">
        <v>4</v>
      </c>
      <c r="C5" t="s">
        <v>21</v>
      </c>
      <c r="D5" t="s">
        <v>14</v>
      </c>
      <c r="E5" t="s">
        <v>23</v>
      </c>
      <c r="F5" t="s">
        <v>4</v>
      </c>
    </row>
    <row r="6" spans="1:6" x14ac:dyDescent="0.35">
      <c r="A6" t="s">
        <v>22</v>
      </c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7" spans="1:6" x14ac:dyDescent="0.35">
      <c r="A7" t="s">
        <v>1</v>
      </c>
    </row>
    <row r="8" spans="1:6" s="3" customFormat="1" x14ac:dyDescent="0.35">
      <c r="A8" s="3" t="s">
        <v>16</v>
      </c>
      <c r="B8" s="3">
        <v>0</v>
      </c>
      <c r="C8" s="3">
        <v>10</v>
      </c>
      <c r="D8" s="3">
        <v>0</v>
      </c>
      <c r="E8" s="3">
        <v>10</v>
      </c>
      <c r="F8" s="3">
        <v>26</v>
      </c>
    </row>
    <row r="9" spans="1:6" s="3" customFormat="1" x14ac:dyDescent="0.35">
      <c r="A9" s="3" t="s">
        <v>13</v>
      </c>
      <c r="B9" s="3">
        <v>14</v>
      </c>
      <c r="C9" s="3">
        <v>54</v>
      </c>
      <c r="D9" s="3">
        <v>86</v>
      </c>
      <c r="E9" s="3">
        <v>58</v>
      </c>
      <c r="F9" s="3">
        <v>74</v>
      </c>
    </row>
    <row r="10" spans="1:6" s="3" customFormat="1" x14ac:dyDescent="0.35">
      <c r="A10" s="3" t="s">
        <v>0</v>
      </c>
      <c r="B10" s="3">
        <v>86</v>
      </c>
      <c r="C10" s="3">
        <v>36</v>
      </c>
      <c r="D10" s="3">
        <v>14</v>
      </c>
      <c r="E10" s="3">
        <v>32</v>
      </c>
      <c r="F10" s="3">
        <v>0</v>
      </c>
    </row>
    <row r="11" spans="1:6" x14ac:dyDescent="0.35">
      <c r="A11" t="s">
        <v>2</v>
      </c>
    </row>
    <row r="12" spans="1:6" s="3" customFormat="1" x14ac:dyDescent="0.35">
      <c r="A12" s="3" t="s">
        <v>17</v>
      </c>
      <c r="B12" s="3">
        <v>1000</v>
      </c>
      <c r="C12" s="3">
        <v>2000</v>
      </c>
      <c r="D12" s="3">
        <v>2000</v>
      </c>
      <c r="E12" s="3">
        <v>4000</v>
      </c>
      <c r="F12" s="3">
        <v>4000</v>
      </c>
    </row>
    <row r="13" spans="1:6" s="3" customFormat="1" x14ac:dyDescent="0.35">
      <c r="A13" s="3" t="s">
        <v>18</v>
      </c>
      <c r="B13" s="3">
        <v>2000</v>
      </c>
      <c r="C13" s="3">
        <v>1000</v>
      </c>
      <c r="D13" s="3">
        <v>1000</v>
      </c>
      <c r="E13" s="3">
        <v>1000</v>
      </c>
      <c r="F13" s="3">
        <v>1000</v>
      </c>
    </row>
    <row r="14" spans="1:6" x14ac:dyDescent="0.35">
      <c r="A14" t="s">
        <v>24</v>
      </c>
      <c r="B14" t="s">
        <v>25</v>
      </c>
      <c r="C14" t="s">
        <v>26</v>
      </c>
      <c r="D14" t="s">
        <v>26</v>
      </c>
      <c r="E14" t="s">
        <v>26</v>
      </c>
      <c r="F14" t="s">
        <v>26</v>
      </c>
    </row>
    <row r="15" spans="1:6" s="3" customFormat="1" x14ac:dyDescent="0.35">
      <c r="A15" s="3" t="s">
        <v>19</v>
      </c>
      <c r="B15" s="3">
        <v>1459</v>
      </c>
      <c r="C15" s="3">
        <v>215</v>
      </c>
      <c r="D15" s="3">
        <v>80</v>
      </c>
      <c r="E15" s="3">
        <v>99</v>
      </c>
      <c r="F15" s="3">
        <v>74</v>
      </c>
    </row>
    <row r="16" spans="1:6" s="3" customFormat="1" x14ac:dyDescent="0.35">
      <c r="A16" s="3" t="s">
        <v>11</v>
      </c>
      <c r="B16" s="3">
        <v>11.6</v>
      </c>
      <c r="C16" s="3">
        <v>0</v>
      </c>
      <c r="D16" s="3">
        <v>9.6</v>
      </c>
      <c r="E16" s="3">
        <v>0</v>
      </c>
      <c r="F16" s="3">
        <v>14.8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2:P31"/>
  <sheetViews>
    <sheetView topLeftCell="A22" workbookViewId="0">
      <selection activeCell="A36" sqref="A36"/>
    </sheetView>
  </sheetViews>
  <sheetFormatPr defaultRowHeight="14.5" x14ac:dyDescent="0.35"/>
  <cols>
    <col min="1" max="2" width="2.36328125" style="9" customWidth="1"/>
    <col min="3" max="3" width="40.6328125" style="9" customWidth="1"/>
    <col min="4" max="4" width="7.81640625" style="9" bestFit="1" customWidth="1"/>
    <col min="5" max="16384" width="8.7265625" style="9"/>
  </cols>
  <sheetData>
    <row r="2" spans="1:9" s="34" customFormat="1" x14ac:dyDescent="0.35">
      <c r="A2" s="34" t="s">
        <v>122</v>
      </c>
    </row>
    <row r="3" spans="1:9" x14ac:dyDescent="0.35">
      <c r="B3" s="9" t="s">
        <v>74</v>
      </c>
      <c r="D3" s="9" t="s">
        <v>56</v>
      </c>
      <c r="E3" s="55">
        <v>2.5000000000000001E-2</v>
      </c>
    </row>
    <row r="4" spans="1:9" x14ac:dyDescent="0.35">
      <c r="B4" s="9" t="s">
        <v>80</v>
      </c>
      <c r="D4" s="9" t="s">
        <v>56</v>
      </c>
      <c r="E4" s="55">
        <v>2.2499999999999999E-2</v>
      </c>
    </row>
    <row r="5" spans="1:9" x14ac:dyDescent="0.35">
      <c r="B5" s="9" t="s">
        <v>81</v>
      </c>
      <c r="D5" s="9" t="s">
        <v>56</v>
      </c>
      <c r="E5" s="55">
        <v>2.5000000000000001E-2</v>
      </c>
    </row>
    <row r="8" spans="1:9" x14ac:dyDescent="0.35">
      <c r="D8" s="54" t="s">
        <v>150</v>
      </c>
      <c r="E8" s="54" t="s">
        <v>137</v>
      </c>
      <c r="F8" s="54" t="s">
        <v>6</v>
      </c>
      <c r="G8" s="54" t="s">
        <v>8</v>
      </c>
      <c r="H8" s="54" t="s">
        <v>9</v>
      </c>
    </row>
    <row r="10" spans="1:9" x14ac:dyDescent="0.35">
      <c r="C10" s="9" t="s">
        <v>109</v>
      </c>
      <c r="D10" s="31">
        <v>1</v>
      </c>
      <c r="E10" s="31">
        <v>1</v>
      </c>
      <c r="F10" s="31">
        <v>2</v>
      </c>
      <c r="G10" s="31">
        <v>1</v>
      </c>
      <c r="H10" s="31">
        <v>1</v>
      </c>
      <c r="I10" s="20"/>
    </row>
    <row r="11" spans="1:9" x14ac:dyDescent="0.35">
      <c r="C11" s="9" t="s">
        <v>111</v>
      </c>
      <c r="D11" s="31">
        <v>4</v>
      </c>
      <c r="E11" s="31">
        <v>2</v>
      </c>
      <c r="F11" s="31">
        <v>1</v>
      </c>
      <c r="G11" s="31">
        <v>2</v>
      </c>
      <c r="H11" s="31">
        <v>4</v>
      </c>
      <c r="I11" s="20"/>
    </row>
    <row r="12" spans="1:9" x14ac:dyDescent="0.35">
      <c r="C12" s="9" t="s">
        <v>113</v>
      </c>
      <c r="D12" s="27">
        <v>74</v>
      </c>
      <c r="E12" s="27">
        <v>215</v>
      </c>
      <c r="F12" s="52">
        <v>1459</v>
      </c>
      <c r="G12" s="27">
        <v>80</v>
      </c>
      <c r="H12" s="27">
        <v>99</v>
      </c>
    </row>
    <row r="13" spans="1:9" x14ac:dyDescent="0.35">
      <c r="C13" s="9" t="s">
        <v>55</v>
      </c>
      <c r="D13" s="55">
        <v>1</v>
      </c>
      <c r="E13" s="55">
        <v>1</v>
      </c>
      <c r="F13" s="55">
        <v>0.08</v>
      </c>
      <c r="G13" s="55">
        <v>1</v>
      </c>
      <c r="H13" s="55">
        <v>1</v>
      </c>
      <c r="I13" s="18"/>
    </row>
    <row r="14" spans="1:9" x14ac:dyDescent="0.35">
      <c r="C14" s="9" t="s">
        <v>51</v>
      </c>
      <c r="D14" s="55">
        <v>0.92</v>
      </c>
      <c r="E14" s="55">
        <v>0.92</v>
      </c>
      <c r="F14" s="55">
        <v>0.89</v>
      </c>
      <c r="G14" s="55">
        <v>0.92</v>
      </c>
      <c r="H14" s="55">
        <v>0.93</v>
      </c>
      <c r="I14" s="18"/>
    </row>
    <row r="16" spans="1:9" x14ac:dyDescent="0.35">
      <c r="C16" s="9" t="s">
        <v>108</v>
      </c>
      <c r="D16" s="55">
        <v>0.02</v>
      </c>
      <c r="E16" s="55">
        <v>0.02</v>
      </c>
      <c r="F16" s="55">
        <v>0.02</v>
      </c>
      <c r="G16" s="55">
        <v>0.02</v>
      </c>
      <c r="H16" s="55">
        <v>0.02</v>
      </c>
      <c r="I16" s="18"/>
    </row>
    <row r="17" spans="2:16" x14ac:dyDescent="0.35">
      <c r="C17" s="9" t="s">
        <v>58</v>
      </c>
      <c r="D17" s="55">
        <v>0.19</v>
      </c>
      <c r="E17" s="55">
        <v>0.18</v>
      </c>
      <c r="F17" s="55">
        <v>0.13</v>
      </c>
      <c r="G17" s="55">
        <v>0.16</v>
      </c>
      <c r="H17" s="55">
        <v>0.12</v>
      </c>
      <c r="I17" s="18"/>
    </row>
    <row r="18" spans="2:16" x14ac:dyDescent="0.35">
      <c r="C18" s="9" t="s">
        <v>89</v>
      </c>
      <c r="D18" s="55">
        <v>1.6E-2</v>
      </c>
      <c r="E18" s="55">
        <v>1.6E-2</v>
      </c>
      <c r="F18" s="55">
        <v>1.9E-2</v>
      </c>
      <c r="G18" s="55">
        <v>1.6E-2</v>
      </c>
      <c r="H18" s="55">
        <v>1.6E-2</v>
      </c>
      <c r="I18" s="18"/>
    </row>
    <row r="19" spans="2:16" x14ac:dyDescent="0.35">
      <c r="C19" s="9" t="s">
        <v>114</v>
      </c>
      <c r="D19" s="27">
        <v>10</v>
      </c>
      <c r="E19" s="27">
        <v>10</v>
      </c>
      <c r="F19" s="27">
        <v>10</v>
      </c>
      <c r="G19" s="27">
        <v>10</v>
      </c>
      <c r="H19" s="27">
        <v>10</v>
      </c>
    </row>
    <row r="21" spans="2:16" x14ac:dyDescent="0.35">
      <c r="C21" s="9" t="s">
        <v>107</v>
      </c>
      <c r="D21" s="31">
        <v>1</v>
      </c>
      <c r="E21" s="31">
        <v>1</v>
      </c>
      <c r="F21" s="31">
        <v>1</v>
      </c>
      <c r="G21" s="31">
        <v>1</v>
      </c>
      <c r="H21" s="31">
        <v>1</v>
      </c>
      <c r="I21" s="20"/>
    </row>
    <row r="22" spans="2:16" x14ac:dyDescent="0.35">
      <c r="C22" s="9" t="s">
        <v>110</v>
      </c>
      <c r="D22" s="31">
        <v>0.95</v>
      </c>
      <c r="E22" s="31">
        <v>1.1399999999999999</v>
      </c>
      <c r="F22" s="31">
        <v>0.95</v>
      </c>
      <c r="G22" s="31">
        <v>0.95</v>
      </c>
      <c r="H22" s="31">
        <v>0.95</v>
      </c>
      <c r="I22" s="20"/>
    </row>
    <row r="23" spans="2:16" x14ac:dyDescent="0.35">
      <c r="C23" s="9" t="s">
        <v>112</v>
      </c>
      <c r="D23" s="31">
        <v>1.1599999999999999</v>
      </c>
      <c r="E23" s="31">
        <v>1.23</v>
      </c>
      <c r="F23" s="31">
        <v>1.0900000000000001</v>
      </c>
      <c r="G23" s="31">
        <v>1.0900000000000001</v>
      </c>
      <c r="H23" s="31">
        <v>0.82</v>
      </c>
      <c r="I23" s="20"/>
    </row>
    <row r="25" spans="2:16" x14ac:dyDescent="0.35">
      <c r="C25" s="9" t="s">
        <v>157</v>
      </c>
      <c r="D25" s="18">
        <f>D12/8760</f>
        <v>8.4474885844748864E-3</v>
      </c>
      <c r="E25" s="18">
        <f t="shared" ref="E25:H25" si="0">E12/8760</f>
        <v>2.4543378995433789E-2</v>
      </c>
      <c r="F25" s="18">
        <f t="shared" si="0"/>
        <v>0.1665525114155251</v>
      </c>
      <c r="G25" s="18">
        <f t="shared" si="0"/>
        <v>9.1324200913242004E-3</v>
      </c>
      <c r="H25" s="18">
        <f t="shared" si="0"/>
        <v>1.1301369863013699E-2</v>
      </c>
    </row>
    <row r="27" spans="2:16" x14ac:dyDescent="0.35">
      <c r="G27" s="9">
        <f>'PJM Analysis '!G1</f>
        <v>2017</v>
      </c>
      <c r="H27" s="9">
        <f>'PJM Analysis '!H1</f>
        <v>2018</v>
      </c>
      <c r="I27" s="9">
        <f>'PJM Analysis '!I1</f>
        <v>2019</v>
      </c>
      <c r="J27" s="9">
        <f>'PJM Analysis '!J1</f>
        <v>2020</v>
      </c>
      <c r="K27" s="9">
        <f>'PJM Analysis '!K1</f>
        <v>2021</v>
      </c>
      <c r="L27" s="9">
        <f>'PJM Analysis '!L1</f>
        <v>2022</v>
      </c>
      <c r="M27" s="9">
        <f>'PJM Analysis '!M1</f>
        <v>2023</v>
      </c>
      <c r="N27" s="9">
        <f>'PJM Analysis '!N1</f>
        <v>2024</v>
      </c>
      <c r="O27" s="9">
        <f>'PJM Analysis '!O1</f>
        <v>2025</v>
      </c>
      <c r="P27" s="9">
        <f>'PJM Analysis '!P1</f>
        <v>2026</v>
      </c>
    </row>
    <row r="28" spans="2:16" x14ac:dyDescent="0.35">
      <c r="B28" s="9" t="s">
        <v>85</v>
      </c>
    </row>
    <row r="29" spans="2:16" x14ac:dyDescent="0.35">
      <c r="C29" s="9" t="s">
        <v>74</v>
      </c>
      <c r="D29" s="9" t="s">
        <v>56</v>
      </c>
      <c r="E29" s="18">
        <f>'PJM Analysis '!E106</f>
        <v>2.5000000000000001E-2</v>
      </c>
      <c r="F29" s="31">
        <v>1</v>
      </c>
      <c r="G29" s="31">
        <v>1</v>
      </c>
      <c r="H29" s="20">
        <f>G29*(1+$E$29)</f>
        <v>1.0249999999999999</v>
      </c>
      <c r="I29" s="20">
        <f>H29*(1+$E$29)</f>
        <v>1.0506249999999999</v>
      </c>
      <c r="J29" s="20">
        <f>I29*(1+$E$29)</f>
        <v>1.0768906249999999</v>
      </c>
      <c r="K29" s="20">
        <f>J29*(1+$E$29)</f>
        <v>1.1038128906249998</v>
      </c>
      <c r="L29" s="20">
        <f>K29*(1+$E$29)</f>
        <v>1.1314082128906247</v>
      </c>
      <c r="M29" s="20">
        <f>L29*(1+$E$29)</f>
        <v>1.1596934182128902</v>
      </c>
      <c r="N29" s="20">
        <f>M29*(1+$E$29)</f>
        <v>1.1886857536682123</v>
      </c>
      <c r="O29" s="20">
        <f>N29*(1+$E$29)</f>
        <v>1.2184028975099175</v>
      </c>
      <c r="P29" s="20">
        <f>O29*(1+$E$29)</f>
        <v>1.2488629699476652</v>
      </c>
    </row>
    <row r="30" spans="2:16" x14ac:dyDescent="0.35">
      <c r="C30" s="9" t="s">
        <v>79</v>
      </c>
      <c r="D30" s="9" t="s">
        <v>56</v>
      </c>
      <c r="E30" s="18">
        <f>'PJM Analysis '!E111</f>
        <v>2.2499999999999999E-2</v>
      </c>
      <c r="F30" s="31">
        <v>1</v>
      </c>
      <c r="G30" s="31">
        <v>1</v>
      </c>
      <c r="H30" s="20">
        <f>G30*(1+$E$30)</f>
        <v>1.0225</v>
      </c>
      <c r="I30" s="20">
        <f>H30*(1+$E$30)</f>
        <v>1.0455062499999999</v>
      </c>
      <c r="J30" s="20">
        <f>I30*(1+$E$30)</f>
        <v>1.0690301406249998</v>
      </c>
      <c r="K30" s="20">
        <f>J30*(1+$E$30)</f>
        <v>1.0930833187890623</v>
      </c>
      <c r="L30" s="20">
        <f>K30*(1+$E$30)</f>
        <v>1.1176776934618162</v>
      </c>
      <c r="M30" s="20">
        <f>L30*(1+$E$30)</f>
        <v>1.142825441564707</v>
      </c>
      <c r="N30" s="20">
        <f>M30*(1+$E$30)</f>
        <v>1.1685390139999128</v>
      </c>
      <c r="O30" s="20">
        <f>N30*(1+$E$30)</f>
        <v>1.1948311418149107</v>
      </c>
      <c r="P30" s="20">
        <f>O30*(1+$E$30)</f>
        <v>1.221714842505746</v>
      </c>
    </row>
    <row r="31" spans="2:16" x14ac:dyDescent="0.35">
      <c r="C31" s="9" t="s">
        <v>82</v>
      </c>
      <c r="D31" s="9" t="s">
        <v>56</v>
      </c>
      <c r="E31" s="18">
        <f>'PJM Analysis '!E112</f>
        <v>2.5000000000000001E-2</v>
      </c>
      <c r="F31" s="31">
        <v>1</v>
      </c>
      <c r="G31" s="20">
        <f>F31</f>
        <v>1</v>
      </c>
      <c r="H31" s="20">
        <f>G31*(1+$E$31)</f>
        <v>1.0249999999999999</v>
      </c>
      <c r="I31" s="20">
        <f>H31*(1+$E$31)</f>
        <v>1.0506249999999999</v>
      </c>
      <c r="J31" s="20">
        <f>I31*(1+$E$31)</f>
        <v>1.0768906249999999</v>
      </c>
      <c r="K31" s="20">
        <f>J31*(1+$E$31)</f>
        <v>1.1038128906249998</v>
      </c>
      <c r="L31" s="20">
        <f>K31*(1+$E$31)</f>
        <v>1.1314082128906247</v>
      </c>
      <c r="M31" s="20">
        <f>L31*(1+$E$31)</f>
        <v>1.1596934182128902</v>
      </c>
      <c r="N31" s="20">
        <f>M31*(1+$E$31)</f>
        <v>1.1886857536682123</v>
      </c>
      <c r="O31" s="20">
        <f>N31*(1+$E$31)</f>
        <v>1.2184028975099175</v>
      </c>
      <c r="P31" s="20">
        <f>O31*(1+$E$31)</f>
        <v>1.2488629699476652</v>
      </c>
    </row>
  </sheetData>
  <conditionalFormatting sqref="A1:XFD1048576">
    <cfRule type="cellIs" dxfId="1" priority="2" operator="equal">
      <formula>TRUE</formula>
    </cfRule>
    <cfRule type="containsText" dxfId="0" priority="1" operator="containsText" text="FALSE">
      <formula>NOT(ISERROR(SEARCH("FALSE",A1)))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156"/>
  <sheetViews>
    <sheetView workbookViewId="0">
      <pane xSplit="4" ySplit="1" topLeftCell="E143" activePane="bottomRight" state="frozen"/>
      <selection pane="topRight" activeCell="E1" sqref="E1"/>
      <selection pane="bottomLeft" activeCell="A2" sqref="A2"/>
      <selection pane="bottomRight" activeCell="G156" sqref="G156"/>
    </sheetView>
  </sheetViews>
  <sheetFormatPr defaultRowHeight="14.5" outlineLevelRow="1" x14ac:dyDescent="0.35"/>
  <cols>
    <col min="1" max="2" width="1.7265625" style="9" customWidth="1"/>
    <col min="3" max="3" width="50.36328125" style="9" customWidth="1"/>
    <col min="4" max="6" width="11.7265625" style="9" customWidth="1"/>
    <col min="7" max="16" width="12.54296875" style="9" customWidth="1"/>
    <col min="17" max="16384" width="8.7265625" style="9"/>
  </cols>
  <sheetData>
    <row r="1" spans="1:16" s="34" customFormat="1" x14ac:dyDescent="0.35">
      <c r="A1" s="34" t="s">
        <v>45</v>
      </c>
      <c r="G1" s="34">
        <v>2017</v>
      </c>
      <c r="H1" s="34">
        <v>2018</v>
      </c>
      <c r="I1" s="34">
        <v>2019</v>
      </c>
      <c r="J1" s="34">
        <v>2020</v>
      </c>
      <c r="K1" s="34">
        <v>2021</v>
      </c>
      <c r="L1" s="34">
        <v>2022</v>
      </c>
      <c r="M1" s="34">
        <v>2023</v>
      </c>
      <c r="N1" s="34">
        <v>2024</v>
      </c>
      <c r="O1" s="34">
        <v>2025</v>
      </c>
      <c r="P1" s="34">
        <v>2026</v>
      </c>
    </row>
    <row r="2" spans="1:16" outlineLevel="1" x14ac:dyDescent="0.35"/>
    <row r="3" spans="1:16" outlineLevel="1" x14ac:dyDescent="0.35"/>
    <row r="4" spans="1:16" outlineLevel="1" x14ac:dyDescent="0.35"/>
    <row r="5" spans="1:16" outlineLevel="1" x14ac:dyDescent="0.35"/>
    <row r="6" spans="1:16" outlineLevel="1" x14ac:dyDescent="0.35"/>
    <row r="7" spans="1:16" outlineLevel="1" x14ac:dyDescent="0.35"/>
    <row r="8" spans="1:16" outlineLevel="1" x14ac:dyDescent="0.35"/>
    <row r="9" spans="1:16" outlineLevel="1" x14ac:dyDescent="0.35"/>
    <row r="10" spans="1:16" outlineLevel="1" x14ac:dyDescent="0.35"/>
    <row r="11" spans="1:16" outlineLevel="1" x14ac:dyDescent="0.35"/>
    <row r="12" spans="1:16" outlineLevel="1" x14ac:dyDescent="0.35"/>
    <row r="13" spans="1:16" outlineLevel="1" x14ac:dyDescent="0.35"/>
    <row r="14" spans="1:16" outlineLevel="1" x14ac:dyDescent="0.35"/>
    <row r="15" spans="1:16" outlineLevel="1" x14ac:dyDescent="0.35"/>
    <row r="16" spans="1:16" outlineLevel="1" x14ac:dyDescent="0.35"/>
    <row r="17" outlineLevel="1" x14ac:dyDescent="0.35"/>
    <row r="18" outlineLevel="1" x14ac:dyDescent="0.35"/>
    <row r="19" outlineLevel="1" x14ac:dyDescent="0.35"/>
    <row r="20" outlineLevel="1" x14ac:dyDescent="0.35"/>
    <row r="21" outlineLevel="1" x14ac:dyDescent="0.35"/>
    <row r="22" outlineLevel="1" x14ac:dyDescent="0.35"/>
    <row r="23" outlineLevel="1" x14ac:dyDescent="0.35"/>
    <row r="24" outlineLevel="1" x14ac:dyDescent="0.35"/>
    <row r="25" outlineLevel="1" x14ac:dyDescent="0.35"/>
    <row r="26" outlineLevel="1" x14ac:dyDescent="0.35"/>
    <row r="27" outlineLevel="1" x14ac:dyDescent="0.35"/>
    <row r="28" outlineLevel="1" x14ac:dyDescent="0.35"/>
    <row r="29" outlineLevel="1" x14ac:dyDescent="0.35"/>
    <row r="30" outlineLevel="1" x14ac:dyDescent="0.35"/>
    <row r="31" outlineLevel="1" x14ac:dyDescent="0.35"/>
    <row r="34" spans="3:16" x14ac:dyDescent="0.35">
      <c r="F34" s="27">
        <v>2016</v>
      </c>
      <c r="G34" s="27">
        <v>2017</v>
      </c>
      <c r="H34" s="27">
        <v>2018</v>
      </c>
      <c r="I34" s="27">
        <v>2019</v>
      </c>
      <c r="J34" s="27">
        <v>2020</v>
      </c>
      <c r="K34" s="27">
        <v>2021</v>
      </c>
      <c r="L34" s="27">
        <v>2022</v>
      </c>
      <c r="M34" s="27">
        <v>2023</v>
      </c>
      <c r="N34" s="27">
        <v>2024</v>
      </c>
      <c r="O34" s="27">
        <v>2025</v>
      </c>
      <c r="P34" s="27">
        <v>2026</v>
      </c>
    </row>
    <row r="35" spans="3:16" s="11" customFormat="1" x14ac:dyDescent="0.35">
      <c r="C35" s="10" t="s">
        <v>34</v>
      </c>
      <c r="D35" s="10"/>
      <c r="E35" s="10"/>
      <c r="F35" s="28">
        <v>0</v>
      </c>
      <c r="G35" s="28">
        <v>16656</v>
      </c>
      <c r="H35" s="28">
        <v>17073</v>
      </c>
      <c r="I35" s="28">
        <v>17499</v>
      </c>
      <c r="J35" s="28">
        <v>17937</v>
      </c>
      <c r="K35" s="28">
        <v>18385</v>
      </c>
      <c r="L35" s="28">
        <v>18845</v>
      </c>
      <c r="M35" s="28">
        <v>19316</v>
      </c>
      <c r="N35" s="28">
        <v>19799</v>
      </c>
      <c r="O35" s="28">
        <v>20294</v>
      </c>
      <c r="P35" s="28">
        <v>20801</v>
      </c>
    </row>
    <row r="36" spans="3:16" s="11" customFormat="1" x14ac:dyDescent="0.35">
      <c r="C36" s="10" t="s">
        <v>12</v>
      </c>
      <c r="D36" s="10"/>
      <c r="E36" s="10"/>
      <c r="F36" s="28">
        <v>0</v>
      </c>
      <c r="G36" s="28">
        <v>7232</v>
      </c>
      <c r="H36" s="28">
        <v>7413</v>
      </c>
      <c r="I36" s="28">
        <v>7599</v>
      </c>
      <c r="J36" s="28">
        <v>7789</v>
      </c>
      <c r="K36" s="28">
        <v>7983</v>
      </c>
      <c r="L36" s="28">
        <v>8183</v>
      </c>
      <c r="M36" s="28">
        <v>8387</v>
      </c>
      <c r="N36" s="28">
        <v>8597</v>
      </c>
      <c r="O36" s="28">
        <v>8812</v>
      </c>
      <c r="P36" s="28">
        <v>9032</v>
      </c>
    </row>
    <row r="37" spans="3:16" s="11" customFormat="1" x14ac:dyDescent="0.35">
      <c r="C37" s="10" t="s">
        <v>0</v>
      </c>
      <c r="D37" s="10"/>
      <c r="E37" s="10"/>
      <c r="F37" s="28">
        <v>0</v>
      </c>
      <c r="G37" s="28">
        <v>266566</v>
      </c>
      <c r="H37" s="28">
        <v>273230</v>
      </c>
      <c r="I37" s="28">
        <v>280060</v>
      </c>
      <c r="J37" s="28">
        <v>287062</v>
      </c>
      <c r="K37" s="28">
        <v>294239</v>
      </c>
      <c r="L37" s="28">
        <v>301595</v>
      </c>
      <c r="M37" s="28">
        <v>309134</v>
      </c>
      <c r="N37" s="28">
        <v>316863</v>
      </c>
      <c r="O37" s="28">
        <v>324784</v>
      </c>
      <c r="P37" s="28">
        <v>332904</v>
      </c>
    </row>
    <row r="38" spans="3:16" s="11" customFormat="1" x14ac:dyDescent="0.35">
      <c r="C38" s="10" t="s">
        <v>35</v>
      </c>
      <c r="D38" s="10"/>
      <c r="E38" s="10"/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</row>
    <row r="39" spans="3:16" s="11" customFormat="1" ht="15" thickBot="1" x14ac:dyDescent="0.4">
      <c r="C39" s="12" t="s">
        <v>33</v>
      </c>
      <c r="D39" s="12"/>
      <c r="E39" s="12"/>
      <c r="F39" s="29">
        <v>0</v>
      </c>
      <c r="G39" s="29">
        <v>290454</v>
      </c>
      <c r="H39" s="29">
        <v>297716</v>
      </c>
      <c r="I39" s="29">
        <v>305158</v>
      </c>
      <c r="J39" s="29">
        <v>312787</v>
      </c>
      <c r="K39" s="29">
        <v>320607</v>
      </c>
      <c r="L39" s="29">
        <v>328622</v>
      </c>
      <c r="M39" s="29">
        <v>336838</v>
      </c>
      <c r="N39" s="29">
        <v>345259</v>
      </c>
      <c r="O39" s="29">
        <v>353890</v>
      </c>
      <c r="P39" s="29">
        <v>362738</v>
      </c>
    </row>
    <row r="40" spans="3:16" s="11" customFormat="1" x14ac:dyDescent="0.35">
      <c r="C40" s="10" t="s">
        <v>27</v>
      </c>
      <c r="D40" s="10"/>
      <c r="E40" s="10"/>
      <c r="F40" s="28">
        <v>0</v>
      </c>
      <c r="G40" s="28">
        <v>-20931</v>
      </c>
      <c r="H40" s="28">
        <v>-21402</v>
      </c>
      <c r="I40" s="28">
        <v>-21884</v>
      </c>
      <c r="J40" s="28">
        <v>-22376</v>
      </c>
      <c r="K40" s="28">
        <v>-22880</v>
      </c>
      <c r="L40" s="28">
        <v>-23395</v>
      </c>
      <c r="M40" s="28">
        <v>-23921</v>
      </c>
      <c r="N40" s="28">
        <v>-24459</v>
      </c>
      <c r="O40" s="28">
        <v>-25010</v>
      </c>
      <c r="P40" s="28">
        <v>-25572</v>
      </c>
    </row>
    <row r="41" spans="3:16" s="11" customFormat="1" x14ac:dyDescent="0.35">
      <c r="C41" s="10" t="s">
        <v>28</v>
      </c>
      <c r="D41" s="10"/>
      <c r="E41" s="10"/>
      <c r="F41" s="28">
        <v>0</v>
      </c>
      <c r="G41" s="28">
        <v>0</v>
      </c>
      <c r="H41" s="28">
        <v>0</v>
      </c>
      <c r="I41" s="28">
        <v>-21019</v>
      </c>
      <c r="J41" s="28">
        <v>-21019</v>
      </c>
      <c r="K41" s="28">
        <v>-21019</v>
      </c>
      <c r="L41" s="28">
        <v>-21019</v>
      </c>
      <c r="M41" s="28">
        <v>-21019</v>
      </c>
      <c r="N41" s="28">
        <v>-21019</v>
      </c>
      <c r="O41" s="28">
        <v>-21019</v>
      </c>
      <c r="P41" s="28">
        <v>-21019</v>
      </c>
    </row>
    <row r="42" spans="3:16" s="11" customFormat="1" x14ac:dyDescent="0.35">
      <c r="C42" s="10" t="s">
        <v>29</v>
      </c>
      <c r="D42" s="10"/>
      <c r="E42" s="10"/>
      <c r="F42" s="28">
        <v>0</v>
      </c>
      <c r="G42" s="28">
        <v>-80549</v>
      </c>
      <c r="H42" s="28">
        <v>-82546</v>
      </c>
      <c r="I42" s="28">
        <v>-84594</v>
      </c>
      <c r="J42" s="28">
        <v>-86692</v>
      </c>
      <c r="K42" s="28">
        <v>-88841</v>
      </c>
      <c r="L42" s="28">
        <v>-91045</v>
      </c>
      <c r="M42" s="28">
        <v>-93303</v>
      </c>
      <c r="N42" s="28">
        <v>-95617</v>
      </c>
      <c r="O42" s="28">
        <v>-97988</v>
      </c>
      <c r="P42" s="28">
        <v>-100418</v>
      </c>
    </row>
    <row r="43" spans="3:16" s="11" customFormat="1" x14ac:dyDescent="0.35">
      <c r="C43" s="10" t="s">
        <v>36</v>
      </c>
      <c r="D43" s="10"/>
      <c r="E43" s="10"/>
      <c r="F43" s="28">
        <v>0</v>
      </c>
      <c r="G43" s="28">
        <v>-101480</v>
      </c>
      <c r="H43" s="28">
        <v>-103949</v>
      </c>
      <c r="I43" s="28">
        <v>-127497</v>
      </c>
      <c r="J43" s="28">
        <v>-130087</v>
      </c>
      <c r="K43" s="28">
        <v>-132741</v>
      </c>
      <c r="L43" s="28">
        <v>-135459</v>
      </c>
      <c r="M43" s="28">
        <v>-138243</v>
      </c>
      <c r="N43" s="28">
        <v>-141095</v>
      </c>
      <c r="O43" s="28">
        <v>-144017</v>
      </c>
      <c r="P43" s="28">
        <v>-147010</v>
      </c>
    </row>
    <row r="44" spans="3:16" s="11" customFormat="1" ht="15" thickBot="1" x14ac:dyDescent="0.4">
      <c r="C44" s="13" t="s">
        <v>30</v>
      </c>
      <c r="D44" s="13"/>
      <c r="E44" s="13"/>
      <c r="F44" s="29">
        <v>0</v>
      </c>
      <c r="G44" s="29">
        <v>188974</v>
      </c>
      <c r="H44" s="29">
        <v>193767</v>
      </c>
      <c r="I44" s="29">
        <v>177662</v>
      </c>
      <c r="J44" s="29">
        <v>182700</v>
      </c>
      <c r="K44" s="29">
        <v>187866</v>
      </c>
      <c r="L44" s="29">
        <v>193164</v>
      </c>
      <c r="M44" s="29">
        <v>198595</v>
      </c>
      <c r="N44" s="29">
        <v>204164</v>
      </c>
      <c r="O44" s="29">
        <v>209873</v>
      </c>
      <c r="P44" s="29">
        <v>215728</v>
      </c>
    </row>
    <row r="45" spans="3:16" s="11" customFormat="1" x14ac:dyDescent="0.35">
      <c r="C45" s="10" t="s">
        <v>37</v>
      </c>
      <c r="D45" s="10"/>
      <c r="E45" s="10"/>
      <c r="F45" s="28">
        <v>0</v>
      </c>
      <c r="G45" s="28">
        <v>-150184</v>
      </c>
      <c r="H45" s="28">
        <v>-257383</v>
      </c>
      <c r="I45" s="28">
        <v>-183815</v>
      </c>
      <c r="J45" s="28">
        <v>-131266</v>
      </c>
      <c r="K45" s="28">
        <v>-93852</v>
      </c>
      <c r="L45" s="28">
        <v>-93747</v>
      </c>
      <c r="M45" s="28">
        <v>-93852</v>
      </c>
      <c r="N45" s="28">
        <v>-46873</v>
      </c>
      <c r="O45" s="28">
        <v>0</v>
      </c>
      <c r="P45" s="28">
        <v>0</v>
      </c>
    </row>
    <row r="46" spans="3:16" s="11" customFormat="1" ht="15" thickBot="1" x14ac:dyDescent="0.4">
      <c r="C46" s="12" t="s">
        <v>31</v>
      </c>
      <c r="D46" s="12"/>
      <c r="E46" s="12"/>
      <c r="F46" s="29">
        <v>0</v>
      </c>
      <c r="G46" s="29">
        <v>38790</v>
      </c>
      <c r="H46" s="29">
        <v>-63616</v>
      </c>
      <c r="I46" s="29">
        <v>-6153</v>
      </c>
      <c r="J46" s="29">
        <v>51434</v>
      </c>
      <c r="K46" s="29">
        <v>94015</v>
      </c>
      <c r="L46" s="29">
        <v>99417</v>
      </c>
      <c r="M46" s="29">
        <v>104743</v>
      </c>
      <c r="N46" s="29">
        <v>157290</v>
      </c>
      <c r="O46" s="29">
        <v>209873</v>
      </c>
      <c r="P46" s="29">
        <v>215728</v>
      </c>
    </row>
    <row r="47" spans="3:16" s="11" customFormat="1" x14ac:dyDescent="0.35">
      <c r="C47" s="10" t="s">
        <v>38</v>
      </c>
      <c r="D47" s="10"/>
      <c r="E47" s="10"/>
      <c r="F47" s="28">
        <v>0</v>
      </c>
      <c r="G47" s="28">
        <v>-16816</v>
      </c>
      <c r="H47" s="28">
        <v>-15655</v>
      </c>
      <c r="I47" s="28">
        <v>-14401</v>
      </c>
      <c r="J47" s="28">
        <v>-13047</v>
      </c>
      <c r="K47" s="28">
        <v>-11585</v>
      </c>
      <c r="L47" s="28">
        <v>-10006</v>
      </c>
      <c r="M47" s="28">
        <v>-8300</v>
      </c>
      <c r="N47" s="28">
        <v>-6458</v>
      </c>
      <c r="O47" s="28">
        <v>-4469</v>
      </c>
      <c r="P47" s="28">
        <v>-2320</v>
      </c>
    </row>
    <row r="48" spans="3:16" s="11" customFormat="1" x14ac:dyDescent="0.35">
      <c r="C48" s="10" t="s">
        <v>39</v>
      </c>
      <c r="D48" s="10"/>
      <c r="E48" s="10"/>
      <c r="F48" s="28">
        <v>0</v>
      </c>
      <c r="G48" s="28">
        <v>-8570</v>
      </c>
      <c r="H48" s="28">
        <v>0</v>
      </c>
      <c r="I48" s="28">
        <v>0</v>
      </c>
      <c r="J48" s="28">
        <v>0</v>
      </c>
      <c r="K48" s="28">
        <v>-8187</v>
      </c>
      <c r="L48" s="28">
        <v>-34870</v>
      </c>
      <c r="M48" s="28">
        <v>-37613</v>
      </c>
      <c r="N48" s="28">
        <v>-58825</v>
      </c>
      <c r="O48" s="28">
        <v>-80108</v>
      </c>
      <c r="P48" s="28">
        <v>-83229</v>
      </c>
    </row>
    <row r="49" spans="1:16" s="11" customFormat="1" x14ac:dyDescent="0.35">
      <c r="C49" s="10" t="s">
        <v>40</v>
      </c>
      <c r="D49" s="10"/>
      <c r="E49" s="10"/>
      <c r="F49" s="28">
        <v>0</v>
      </c>
      <c r="G49" s="28">
        <v>13405</v>
      </c>
      <c r="H49" s="28">
        <v>-79271</v>
      </c>
      <c r="I49" s="28">
        <v>-20554</v>
      </c>
      <c r="J49" s="28">
        <v>38387</v>
      </c>
      <c r="K49" s="28">
        <v>74243</v>
      </c>
      <c r="L49" s="28">
        <v>54541</v>
      </c>
      <c r="M49" s="28">
        <v>58830</v>
      </c>
      <c r="N49" s="28">
        <v>92008</v>
      </c>
      <c r="O49" s="28">
        <v>125297</v>
      </c>
      <c r="P49" s="28">
        <v>130179</v>
      </c>
    </row>
    <row r="50" spans="1:16" s="11" customFormat="1" x14ac:dyDescent="0.35">
      <c r="C50" s="10" t="s">
        <v>41</v>
      </c>
      <c r="D50" s="10"/>
      <c r="E50" s="10"/>
      <c r="F50" s="28">
        <v>0</v>
      </c>
      <c r="G50" s="28">
        <v>150184</v>
      </c>
      <c r="H50" s="28">
        <v>257383</v>
      </c>
      <c r="I50" s="28">
        <v>183815</v>
      </c>
      <c r="J50" s="28">
        <v>131266</v>
      </c>
      <c r="K50" s="28">
        <v>93852</v>
      </c>
      <c r="L50" s="28">
        <v>93747</v>
      </c>
      <c r="M50" s="28">
        <v>93852</v>
      </c>
      <c r="N50" s="28">
        <v>46873</v>
      </c>
      <c r="O50" s="28">
        <v>0</v>
      </c>
      <c r="P50" s="28">
        <v>0</v>
      </c>
    </row>
    <row r="51" spans="1:16" s="14" customFormat="1" x14ac:dyDescent="0.35">
      <c r="C51" s="15" t="s">
        <v>42</v>
      </c>
      <c r="D51" s="15"/>
      <c r="E51" s="15"/>
      <c r="F51" s="28">
        <v>-840777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</row>
    <row r="52" spans="1:16" s="11" customFormat="1" x14ac:dyDescent="0.35">
      <c r="C52" s="10" t="s">
        <v>32</v>
      </c>
      <c r="D52" s="10"/>
      <c r="E52" s="10"/>
      <c r="F52" s="28">
        <v>0</v>
      </c>
      <c r="G52" s="28">
        <v>-14510</v>
      </c>
      <c r="H52" s="28">
        <v>-15670</v>
      </c>
      <c r="I52" s="28">
        <v>-16924</v>
      </c>
      <c r="J52" s="28">
        <v>-18278</v>
      </c>
      <c r="K52" s="28">
        <v>-19740</v>
      </c>
      <c r="L52" s="28">
        <v>-21319</v>
      </c>
      <c r="M52" s="28">
        <v>-23025</v>
      </c>
      <c r="N52" s="28">
        <v>-24867</v>
      </c>
      <c r="O52" s="28">
        <v>-26856</v>
      </c>
      <c r="P52" s="28">
        <v>-29005</v>
      </c>
    </row>
    <row r="53" spans="1:16" s="14" customFormat="1" x14ac:dyDescent="0.35">
      <c r="C53" s="15" t="s">
        <v>43</v>
      </c>
      <c r="D53" s="15"/>
      <c r="E53" s="15"/>
      <c r="F53" s="28">
        <v>-840777</v>
      </c>
      <c r="G53" s="28">
        <v>149079</v>
      </c>
      <c r="H53" s="28">
        <v>162442</v>
      </c>
      <c r="I53" s="28">
        <v>146336</v>
      </c>
      <c r="J53" s="28">
        <v>151375</v>
      </c>
      <c r="K53" s="28">
        <v>148355</v>
      </c>
      <c r="L53" s="28">
        <v>126968</v>
      </c>
      <c r="M53" s="28">
        <v>129657</v>
      </c>
      <c r="N53" s="28">
        <v>114014</v>
      </c>
      <c r="O53" s="28">
        <v>98441</v>
      </c>
      <c r="P53" s="28">
        <v>101174</v>
      </c>
    </row>
    <row r="54" spans="1:16" x14ac:dyDescent="0.35">
      <c r="C54" s="8" t="s">
        <v>44</v>
      </c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30">
        <v>11.6</v>
      </c>
    </row>
    <row r="56" spans="1:16" x14ac:dyDescent="0.35">
      <c r="G56" s="27">
        <v>2016</v>
      </c>
      <c r="H56" s="27">
        <v>2017</v>
      </c>
      <c r="I56" s="27">
        <v>2018</v>
      </c>
      <c r="J56" s="27">
        <v>2019</v>
      </c>
      <c r="K56" s="27">
        <v>2020</v>
      </c>
      <c r="L56" s="27">
        <v>2021</v>
      </c>
      <c r="M56" s="27">
        <v>2022</v>
      </c>
      <c r="N56" s="27">
        <v>2023</v>
      </c>
      <c r="O56" s="27">
        <v>2024</v>
      </c>
      <c r="P56" s="27">
        <v>2025</v>
      </c>
    </row>
    <row r="57" spans="1:16" s="34" customFormat="1" x14ac:dyDescent="0.35">
      <c r="A57" s="34" t="s">
        <v>119</v>
      </c>
      <c r="D57" s="34" t="s">
        <v>139</v>
      </c>
    </row>
    <row r="58" spans="1:16" x14ac:dyDescent="0.35">
      <c r="C58" s="9" t="s">
        <v>115</v>
      </c>
      <c r="D58" s="9" t="s">
        <v>47</v>
      </c>
      <c r="E58" s="37">
        <f ca="1">INDIRECT("Assumptions!"&amp;$D$57&amp;"10")*1000</f>
        <v>2000</v>
      </c>
      <c r="F58" s="14"/>
      <c r="G58" s="16">
        <f ca="1">E58</f>
        <v>2000</v>
      </c>
      <c r="H58" s="16">
        <f ca="1">G58</f>
        <v>2000</v>
      </c>
      <c r="I58" s="16">
        <f ca="1">H58</f>
        <v>2000</v>
      </c>
      <c r="J58" s="16">
        <f ca="1">I58</f>
        <v>2000</v>
      </c>
      <c r="K58" s="16">
        <f ca="1">J58</f>
        <v>2000</v>
      </c>
      <c r="L58" s="16">
        <f ca="1">K58</f>
        <v>2000</v>
      </c>
      <c r="M58" s="16">
        <f ca="1">L58</f>
        <v>2000</v>
      </c>
      <c r="N58" s="16">
        <f ca="1">M58</f>
        <v>2000</v>
      </c>
      <c r="O58" s="16">
        <f ca="1">N58</f>
        <v>2000</v>
      </c>
      <c r="P58" s="16">
        <f ca="1">O58</f>
        <v>2000</v>
      </c>
    </row>
    <row r="59" spans="1:16" x14ac:dyDescent="0.35">
      <c r="C59" s="9" t="s">
        <v>48</v>
      </c>
      <c r="D59" s="9" t="s">
        <v>49</v>
      </c>
      <c r="E59" s="9">
        <f ca="1">E60/E58</f>
        <v>0.5</v>
      </c>
      <c r="G59" s="17">
        <f ca="1">E59</f>
        <v>0.5</v>
      </c>
      <c r="H59" s="17">
        <f ca="1">G59</f>
        <v>0.5</v>
      </c>
      <c r="I59" s="17">
        <f ca="1">H59</f>
        <v>0.5</v>
      </c>
      <c r="J59" s="17">
        <f ca="1">I59</f>
        <v>0.5</v>
      </c>
      <c r="K59" s="17">
        <f ca="1">J59</f>
        <v>0.5</v>
      </c>
      <c r="L59" s="17">
        <f ca="1">K59</f>
        <v>0.5</v>
      </c>
      <c r="M59" s="17">
        <f ca="1">L59</f>
        <v>0.5</v>
      </c>
      <c r="N59" s="17">
        <f ca="1">M59</f>
        <v>0.5</v>
      </c>
      <c r="O59" s="17">
        <f ca="1">N59</f>
        <v>0.5</v>
      </c>
      <c r="P59" s="17">
        <f ca="1">O59</f>
        <v>0.5</v>
      </c>
    </row>
    <row r="60" spans="1:16" x14ac:dyDescent="0.35">
      <c r="C60" s="9" t="s">
        <v>154</v>
      </c>
      <c r="D60" s="9" t="s">
        <v>50</v>
      </c>
      <c r="E60" s="37">
        <f ca="1">INDIRECT("Assumptions!"&amp;$D$57&amp;"11")*1000</f>
        <v>1000</v>
      </c>
      <c r="F60" s="16"/>
      <c r="G60" s="16">
        <f ca="1">G58*G59</f>
        <v>1000</v>
      </c>
      <c r="H60" s="16">
        <f ca="1">H58*H59</f>
        <v>1000</v>
      </c>
      <c r="I60" s="16">
        <f ca="1">I58*I59</f>
        <v>1000</v>
      </c>
      <c r="J60" s="16">
        <f ca="1">J58*J59</f>
        <v>1000</v>
      </c>
      <c r="K60" s="16">
        <f ca="1">K58*K59</f>
        <v>1000</v>
      </c>
      <c r="L60" s="16">
        <f ca="1">L58*L59</f>
        <v>1000</v>
      </c>
      <c r="M60" s="16">
        <f ca="1">M58*M59</f>
        <v>1000</v>
      </c>
      <c r="N60" s="16">
        <f ca="1">N58*N59</f>
        <v>1000</v>
      </c>
      <c r="O60" s="16">
        <f ca="1">O58*O59</f>
        <v>1000</v>
      </c>
      <c r="P60" s="16">
        <f ca="1">P58*P59</f>
        <v>1000</v>
      </c>
    </row>
    <row r="61" spans="1:16" x14ac:dyDescent="0.35">
      <c r="C61" s="9" t="s">
        <v>52</v>
      </c>
      <c r="D61" s="9" t="s">
        <v>53</v>
      </c>
      <c r="E61" s="37">
        <f ca="1">INDIRECT("Assumptions!"&amp;$D$57&amp;"12")</f>
        <v>1459</v>
      </c>
      <c r="F61" s="16"/>
      <c r="G61" s="16">
        <f ca="1">$E$61</f>
        <v>1459</v>
      </c>
      <c r="H61" s="16">
        <f ca="1">$E$61</f>
        <v>1459</v>
      </c>
      <c r="I61" s="16">
        <f ca="1">$E$61</f>
        <v>1459</v>
      </c>
      <c r="J61" s="16">
        <f ca="1">$E$61</f>
        <v>1459</v>
      </c>
      <c r="K61" s="16">
        <f ca="1">$E$61</f>
        <v>1459</v>
      </c>
      <c r="L61" s="16">
        <f ca="1">$E$61</f>
        <v>1459</v>
      </c>
      <c r="M61" s="16">
        <f ca="1">$E$61</f>
        <v>1459</v>
      </c>
      <c r="N61" s="16">
        <f ca="1">$E$61</f>
        <v>1459</v>
      </c>
      <c r="O61" s="16">
        <f ca="1">$E$61</f>
        <v>1459</v>
      </c>
      <c r="P61" s="16">
        <f ca="1">$E$61</f>
        <v>1459</v>
      </c>
    </row>
    <row r="62" spans="1:16" x14ac:dyDescent="0.35">
      <c r="C62" s="9" t="s">
        <v>106</v>
      </c>
      <c r="D62" s="9" t="s">
        <v>54</v>
      </c>
      <c r="G62" s="16">
        <f ca="1">G61*G60/1000</f>
        <v>1459</v>
      </c>
      <c r="H62" s="16">
        <f ca="1">H61*H60/1000</f>
        <v>1459</v>
      </c>
      <c r="I62" s="16">
        <f ca="1">I61*I60/1000</f>
        <v>1459</v>
      </c>
      <c r="J62" s="16">
        <f ca="1">J61*J60/1000</f>
        <v>1459</v>
      </c>
      <c r="K62" s="16">
        <f ca="1">K61*K60/1000</f>
        <v>1459</v>
      </c>
      <c r="L62" s="16">
        <f ca="1">L61*L60/1000</f>
        <v>1459</v>
      </c>
      <c r="M62" s="16">
        <f ca="1">M61*M60/1000</f>
        <v>1459</v>
      </c>
      <c r="N62" s="16">
        <f ca="1">N61*N60/1000</f>
        <v>1459</v>
      </c>
      <c r="O62" s="16">
        <f ca="1">O61*O60/1000</f>
        <v>1459</v>
      </c>
      <c r="P62" s="16">
        <f ca="1">P61*P60/1000</f>
        <v>1459</v>
      </c>
    </row>
    <row r="63" spans="1:16" x14ac:dyDescent="0.35">
      <c r="C63" s="9" t="s">
        <v>55</v>
      </c>
      <c r="D63" s="9" t="s">
        <v>56</v>
      </c>
      <c r="E63" s="32">
        <f ca="1">INDIRECT("Assumptions!"&amp;$D$57&amp;"13")</f>
        <v>0.08</v>
      </c>
      <c r="F63" s="19"/>
      <c r="G63" s="19">
        <f ca="1">$E$63</f>
        <v>0.08</v>
      </c>
      <c r="H63" s="19">
        <f ca="1">$E$63</f>
        <v>0.08</v>
      </c>
      <c r="I63" s="19">
        <f ca="1">$E$63</f>
        <v>0.08</v>
      </c>
      <c r="J63" s="19">
        <f ca="1">$E$63</f>
        <v>0.08</v>
      </c>
      <c r="K63" s="19">
        <f ca="1">$E$63</f>
        <v>0.08</v>
      </c>
      <c r="L63" s="19">
        <f ca="1">$E$63</f>
        <v>0.08</v>
      </c>
      <c r="M63" s="19">
        <f ca="1">$E$63</f>
        <v>0.08</v>
      </c>
      <c r="N63" s="19">
        <f ca="1">$E$63</f>
        <v>0.08</v>
      </c>
      <c r="O63" s="19">
        <f ca="1">$E$63</f>
        <v>0.08</v>
      </c>
      <c r="P63" s="19">
        <f ca="1">$E$63</f>
        <v>0.08</v>
      </c>
    </row>
    <row r="64" spans="1:16" x14ac:dyDescent="0.35">
      <c r="C64" s="9" t="s">
        <v>51</v>
      </c>
      <c r="D64" s="9" t="s">
        <v>56</v>
      </c>
      <c r="E64" s="32">
        <f ca="1">INDIRECT("Assumptions!"&amp;$D$57&amp;"14")</f>
        <v>0.89</v>
      </c>
      <c r="F64" s="19"/>
      <c r="G64" s="19">
        <f ca="1">$E$64</f>
        <v>0.89</v>
      </c>
      <c r="H64" s="19">
        <f ca="1">$E$64</f>
        <v>0.89</v>
      </c>
      <c r="I64" s="19">
        <f ca="1">$E$64</f>
        <v>0.89</v>
      </c>
      <c r="J64" s="19">
        <f ca="1">$E$64</f>
        <v>0.89</v>
      </c>
      <c r="K64" s="19">
        <f ca="1">$E$64</f>
        <v>0.89</v>
      </c>
      <c r="L64" s="19">
        <f ca="1">$E$64</f>
        <v>0.89</v>
      </c>
      <c r="M64" s="19">
        <f ca="1">$E$64</f>
        <v>0.89</v>
      </c>
      <c r="N64" s="19">
        <f ca="1">$E$64</f>
        <v>0.89</v>
      </c>
      <c r="O64" s="19">
        <f ca="1">$E$64</f>
        <v>0.89</v>
      </c>
      <c r="P64" s="19">
        <f ca="1">$E$64</f>
        <v>0.89</v>
      </c>
    </row>
    <row r="65" spans="1:16" x14ac:dyDescent="0.35">
      <c r="C65" s="9" t="s">
        <v>57</v>
      </c>
      <c r="D65" s="9" t="s">
        <v>54</v>
      </c>
      <c r="G65" s="16">
        <f ca="1">G62*G63</f>
        <v>116.72</v>
      </c>
      <c r="H65" s="16">
        <f ca="1">H62*H63</f>
        <v>116.72</v>
      </c>
      <c r="I65" s="16">
        <f ca="1">I62*I63</f>
        <v>116.72</v>
      </c>
      <c r="J65" s="16">
        <f ca="1">J62*J63</f>
        <v>116.72</v>
      </c>
      <c r="K65" s="16">
        <f ca="1">K62*K63</f>
        <v>116.72</v>
      </c>
      <c r="L65" s="16">
        <f ca="1">L62*L63</f>
        <v>116.72</v>
      </c>
      <c r="M65" s="16">
        <f ca="1">M62*M63</f>
        <v>116.72</v>
      </c>
      <c r="N65" s="16">
        <f ca="1">N62*N63</f>
        <v>116.72</v>
      </c>
      <c r="O65" s="16">
        <f ca="1">O62*O63</f>
        <v>116.72</v>
      </c>
      <c r="P65" s="16">
        <f ca="1">P62*P63</f>
        <v>116.72</v>
      </c>
    </row>
    <row r="66" spans="1:16" x14ac:dyDescent="0.35">
      <c r="C66" s="9" t="s">
        <v>145</v>
      </c>
      <c r="D66" s="9" t="s">
        <v>56</v>
      </c>
      <c r="G66" s="39">
        <f ca="1">G61/8760</f>
        <v>0.1665525114155251</v>
      </c>
      <c r="H66" s="39">
        <f t="shared" ref="H66:P66" ca="1" si="0">H61/8760</f>
        <v>0.1665525114155251</v>
      </c>
      <c r="I66" s="39">
        <f t="shared" ca="1" si="0"/>
        <v>0.1665525114155251</v>
      </c>
      <c r="J66" s="39">
        <f t="shared" ca="1" si="0"/>
        <v>0.1665525114155251</v>
      </c>
      <c r="K66" s="39">
        <f t="shared" ca="1" si="0"/>
        <v>0.1665525114155251</v>
      </c>
      <c r="L66" s="39">
        <f t="shared" ca="1" si="0"/>
        <v>0.1665525114155251</v>
      </c>
      <c r="M66" s="39">
        <f t="shared" ca="1" si="0"/>
        <v>0.1665525114155251</v>
      </c>
      <c r="N66" s="39">
        <f t="shared" ca="1" si="0"/>
        <v>0.1665525114155251</v>
      </c>
      <c r="O66" s="39">
        <f t="shared" ca="1" si="0"/>
        <v>0.1665525114155251</v>
      </c>
      <c r="P66" s="39">
        <f t="shared" ca="1" si="0"/>
        <v>0.1665525114155251</v>
      </c>
    </row>
    <row r="68" spans="1:16" s="34" customFormat="1" x14ac:dyDescent="0.35">
      <c r="A68" s="34" t="s">
        <v>120</v>
      </c>
    </row>
    <row r="69" spans="1:16" x14ac:dyDescent="0.35">
      <c r="B69" s="9" t="s">
        <v>117</v>
      </c>
    </row>
    <row r="70" spans="1:16" x14ac:dyDescent="0.35">
      <c r="C70" s="9" t="s">
        <v>59</v>
      </c>
      <c r="D70" s="9" t="s">
        <v>62</v>
      </c>
      <c r="E70" s="31">
        <v>520</v>
      </c>
    </row>
    <row r="71" spans="1:16" x14ac:dyDescent="0.35">
      <c r="C71" s="9" t="s">
        <v>60</v>
      </c>
      <c r="D71" s="9" t="s">
        <v>62</v>
      </c>
      <c r="E71" s="31">
        <v>410</v>
      </c>
    </row>
    <row r="72" spans="1:16" ht="15" thickBot="1" x14ac:dyDescent="0.4">
      <c r="C72" s="21" t="s">
        <v>61</v>
      </c>
      <c r="D72" s="21" t="s">
        <v>62</v>
      </c>
      <c r="E72" s="22">
        <f>SUM(E70:E71)</f>
        <v>930</v>
      </c>
      <c r="F72" s="8"/>
    </row>
    <row r="74" spans="1:16" x14ac:dyDescent="0.35">
      <c r="C74" s="9" t="s">
        <v>69</v>
      </c>
      <c r="D74" s="9" t="s">
        <v>66</v>
      </c>
      <c r="E74" s="33">
        <f ca="1">INDIRECT("Assumptions!"&amp;$D$57&amp;"21")</f>
        <v>1</v>
      </c>
      <c r="F74" s="20"/>
    </row>
    <row r="75" spans="1:16" x14ac:dyDescent="0.35">
      <c r="C75" s="9" t="s">
        <v>71</v>
      </c>
      <c r="D75" s="9" t="s">
        <v>66</v>
      </c>
      <c r="E75" s="33">
        <f ca="1">INDIRECT("Assumptions!"&amp;$D$57&amp;"22")</f>
        <v>0.95</v>
      </c>
      <c r="F75" s="20"/>
    </row>
    <row r="77" spans="1:16" x14ac:dyDescent="0.35">
      <c r="C77" s="9" t="s">
        <v>59</v>
      </c>
      <c r="D77" s="9" t="s">
        <v>62</v>
      </c>
      <c r="E77" s="20">
        <f ca="1">E70*E74</f>
        <v>520</v>
      </c>
    </row>
    <row r="78" spans="1:16" x14ac:dyDescent="0.35">
      <c r="C78" s="9" t="s">
        <v>60</v>
      </c>
      <c r="D78" s="9" t="s">
        <v>62</v>
      </c>
      <c r="E78" s="20">
        <f ca="1">E71*E75</f>
        <v>389.5</v>
      </c>
    </row>
    <row r="79" spans="1:16" ht="15" thickBot="1" x14ac:dyDescent="0.4">
      <c r="C79" s="21" t="s">
        <v>155</v>
      </c>
      <c r="D79" s="21" t="s">
        <v>62</v>
      </c>
      <c r="E79" s="22">
        <f ca="1">SUM(E77:E78)</f>
        <v>909.5</v>
      </c>
    </row>
    <row r="81" spans="2:6" x14ac:dyDescent="0.35">
      <c r="C81" s="9" t="s">
        <v>118</v>
      </c>
      <c r="D81" s="9" t="s">
        <v>50</v>
      </c>
      <c r="E81" s="23">
        <f ca="1">E60</f>
        <v>1000</v>
      </c>
      <c r="F81" s="23"/>
    </row>
    <row r="82" spans="2:6" x14ac:dyDescent="0.35">
      <c r="C82" s="9" t="s">
        <v>63</v>
      </c>
      <c r="D82" s="9" t="s">
        <v>65</v>
      </c>
      <c r="E82" s="23">
        <f ca="1">E81*E79</f>
        <v>909500</v>
      </c>
      <c r="F82" s="23"/>
    </row>
    <row r="84" spans="2:6" x14ac:dyDescent="0.35">
      <c r="C84" s="9" t="s">
        <v>67</v>
      </c>
      <c r="D84" s="9" t="s">
        <v>68</v>
      </c>
      <c r="E84" s="32">
        <f ca="1">INDIRECT("Assumptions!"&amp;$D$57&amp;"17")</f>
        <v>0.13</v>
      </c>
      <c r="F84" s="19"/>
    </row>
    <row r="85" spans="2:6" x14ac:dyDescent="0.35">
      <c r="C85" s="9" t="s">
        <v>64</v>
      </c>
      <c r="D85" s="9" t="s">
        <v>66</v>
      </c>
      <c r="E85" s="33">
        <f ca="1">INDIRECT("Assumptions!"&amp;$D$57&amp;"23")</f>
        <v>1.0900000000000001</v>
      </c>
    </row>
    <row r="86" spans="2:6" x14ac:dyDescent="0.35">
      <c r="C86" s="9" t="s">
        <v>70</v>
      </c>
      <c r="D86" s="9" t="s">
        <v>65</v>
      </c>
      <c r="E86" s="16">
        <f ca="1">E82*E84*E85</f>
        <v>128876.15000000001</v>
      </c>
      <c r="F86" s="23"/>
    </row>
    <row r="88" spans="2:6" ht="15" thickBot="1" x14ac:dyDescent="0.4">
      <c r="C88" s="21" t="s">
        <v>72</v>
      </c>
      <c r="D88" s="21" t="s">
        <v>65</v>
      </c>
      <c r="E88" s="24">
        <f ca="1">E86+E82</f>
        <v>1038376.15</v>
      </c>
      <c r="F88" s="25"/>
    </row>
    <row r="89" spans="2:6" x14ac:dyDescent="0.35">
      <c r="C89" s="8"/>
      <c r="D89" s="8"/>
      <c r="E89" s="25"/>
      <c r="F89" s="25"/>
    </row>
    <row r="90" spans="2:6" x14ac:dyDescent="0.35">
      <c r="C90" s="8" t="s">
        <v>46</v>
      </c>
      <c r="D90" s="8" t="s">
        <v>47</v>
      </c>
      <c r="E90" s="14">
        <f ca="1">E58</f>
        <v>2000</v>
      </c>
      <c r="F90" s="25"/>
    </row>
    <row r="91" spans="2:6" x14ac:dyDescent="0.35">
      <c r="C91" s="8" t="s">
        <v>156</v>
      </c>
      <c r="D91" s="8" t="s">
        <v>99</v>
      </c>
      <c r="E91" s="20">
        <f ca="1">E88/E90</f>
        <v>519.18807500000003</v>
      </c>
      <c r="F91" s="25"/>
    </row>
    <row r="92" spans="2:6" x14ac:dyDescent="0.35">
      <c r="F92" s="25"/>
    </row>
    <row r="93" spans="2:6" x14ac:dyDescent="0.35">
      <c r="B93" s="9" t="s">
        <v>116</v>
      </c>
    </row>
    <row r="94" spans="2:6" x14ac:dyDescent="0.35">
      <c r="C94" s="8" t="s">
        <v>90</v>
      </c>
      <c r="D94" s="8" t="s">
        <v>65</v>
      </c>
      <c r="E94" s="25">
        <f>-F53</f>
        <v>840777</v>
      </c>
    </row>
    <row r="95" spans="2:6" x14ac:dyDescent="0.35">
      <c r="C95" s="8"/>
      <c r="D95" s="8"/>
      <c r="E95" s="25"/>
    </row>
    <row r="96" spans="2:6" x14ac:dyDescent="0.35">
      <c r="C96" s="8" t="s">
        <v>93</v>
      </c>
      <c r="D96" s="8" t="s">
        <v>65</v>
      </c>
      <c r="E96" s="25">
        <f>-I41</f>
        <v>21019</v>
      </c>
    </row>
    <row r="97" spans="1:6" x14ac:dyDescent="0.35">
      <c r="C97" s="8" t="s">
        <v>94</v>
      </c>
      <c r="D97" s="8" t="s">
        <v>56</v>
      </c>
      <c r="E97" s="32">
        <f ca="1">INDIRECT("Assumptions!"&amp;$D$57&amp;"16")</f>
        <v>0.02</v>
      </c>
    </row>
    <row r="98" spans="1:6" x14ac:dyDescent="0.35">
      <c r="C98" s="8" t="s">
        <v>102</v>
      </c>
      <c r="D98" s="8" t="s">
        <v>65</v>
      </c>
      <c r="E98" s="25">
        <f ca="1">E96/E97</f>
        <v>1050950</v>
      </c>
    </row>
    <row r="99" spans="1:6" x14ac:dyDescent="0.35">
      <c r="C99" s="8" t="s">
        <v>103</v>
      </c>
      <c r="D99" s="8" t="s">
        <v>65</v>
      </c>
      <c r="E99" s="25">
        <f ca="1">E88</f>
        <v>1038376.15</v>
      </c>
    </row>
    <row r="100" spans="1:6" x14ac:dyDescent="0.35">
      <c r="C100" s="8"/>
      <c r="D100" s="8"/>
      <c r="E100" s="25"/>
    </row>
    <row r="101" spans="1:6" x14ac:dyDescent="0.35">
      <c r="C101" s="8" t="s">
        <v>100</v>
      </c>
      <c r="D101" s="8" t="s">
        <v>65</v>
      </c>
      <c r="E101" s="25">
        <f ca="1">E98-E94</f>
        <v>210173</v>
      </c>
    </row>
    <row r="102" spans="1:6" x14ac:dyDescent="0.35">
      <c r="C102" s="8" t="s">
        <v>101</v>
      </c>
      <c r="D102" s="8" t="s">
        <v>56</v>
      </c>
      <c r="E102" s="26">
        <f ca="1">E101/E98</f>
        <v>0.19998382415909416</v>
      </c>
    </row>
    <row r="103" spans="1:6" x14ac:dyDescent="0.35">
      <c r="F103" s="25"/>
    </row>
    <row r="104" spans="1:6" s="34" customFormat="1" x14ac:dyDescent="0.35">
      <c r="A104" s="34" t="s">
        <v>121</v>
      </c>
      <c r="F104" s="36"/>
    </row>
    <row r="105" spans="1:6" x14ac:dyDescent="0.35">
      <c r="B105" s="9" t="s">
        <v>73</v>
      </c>
    </row>
    <row r="106" spans="1:6" x14ac:dyDescent="0.35">
      <c r="C106" s="9" t="s">
        <v>74</v>
      </c>
      <c r="D106" s="9" t="s">
        <v>56</v>
      </c>
      <c r="E106" s="32">
        <f>Assumptions!E3</f>
        <v>2.5000000000000001E-2</v>
      </c>
      <c r="F106" s="18"/>
    </row>
    <row r="107" spans="1:6" x14ac:dyDescent="0.35">
      <c r="C107" s="9" t="s">
        <v>75</v>
      </c>
      <c r="D107" s="9" t="s">
        <v>76</v>
      </c>
      <c r="E107" s="31">
        <v>63</v>
      </c>
      <c r="F107" s="20"/>
    </row>
    <row r="108" spans="1:6" x14ac:dyDescent="0.35">
      <c r="C108" s="9" t="s">
        <v>77</v>
      </c>
      <c r="D108" s="9" t="s">
        <v>78</v>
      </c>
      <c r="E108" s="31">
        <v>40</v>
      </c>
      <c r="F108" s="20"/>
    </row>
    <row r="110" spans="1:6" x14ac:dyDescent="0.35">
      <c r="B110" s="9" t="s">
        <v>79</v>
      </c>
    </row>
    <row r="111" spans="1:6" x14ac:dyDescent="0.35">
      <c r="C111" s="9" t="s">
        <v>80</v>
      </c>
      <c r="D111" s="9" t="s">
        <v>56</v>
      </c>
      <c r="E111" s="32">
        <f>Assumptions!E4</f>
        <v>2.2499999999999999E-2</v>
      </c>
      <c r="F111" s="18"/>
    </row>
    <row r="112" spans="1:6" x14ac:dyDescent="0.35">
      <c r="C112" s="9" t="s">
        <v>81</v>
      </c>
      <c r="D112" s="9" t="s">
        <v>56</v>
      </c>
      <c r="E112" s="32">
        <f>Assumptions!E5</f>
        <v>2.5000000000000001E-2</v>
      </c>
      <c r="F112" s="18"/>
    </row>
    <row r="113" spans="1:16" x14ac:dyDescent="0.35">
      <c r="C113" s="9" t="s">
        <v>82</v>
      </c>
      <c r="D113" s="9" t="s">
        <v>78</v>
      </c>
      <c r="E113" s="31">
        <v>48</v>
      </c>
      <c r="F113" s="20"/>
    </row>
    <row r="114" spans="1:16" x14ac:dyDescent="0.35">
      <c r="C114" s="9" t="s">
        <v>83</v>
      </c>
      <c r="D114" s="9" t="s">
        <v>56</v>
      </c>
      <c r="E114" s="32">
        <f ca="1">INDIRECT("Assumptions!"&amp;$D$57&amp;"18")</f>
        <v>1.9E-2</v>
      </c>
      <c r="F114" s="18"/>
    </row>
    <row r="115" spans="1:16" x14ac:dyDescent="0.35">
      <c r="C115" s="9" t="s">
        <v>84</v>
      </c>
      <c r="D115" s="9" t="s">
        <v>56</v>
      </c>
      <c r="E115" s="18">
        <f ca="1">E97</f>
        <v>0.02</v>
      </c>
      <c r="F115" s="18"/>
    </row>
    <row r="117" spans="1:16" x14ac:dyDescent="0.35">
      <c r="B117" s="9" t="s">
        <v>85</v>
      </c>
    </row>
    <row r="118" spans="1:16" x14ac:dyDescent="0.35">
      <c r="C118" s="9" t="s">
        <v>74</v>
      </c>
      <c r="G118" s="33">
        <f>Assumptions!G29</f>
        <v>1</v>
      </c>
      <c r="H118" s="33">
        <f>Assumptions!H29</f>
        <v>1.0249999999999999</v>
      </c>
      <c r="I118" s="33">
        <f>Assumptions!I29</f>
        <v>1.0506249999999999</v>
      </c>
      <c r="J118" s="33">
        <f>Assumptions!J29</f>
        <v>1.0768906249999999</v>
      </c>
      <c r="K118" s="33">
        <f>Assumptions!K29</f>
        <v>1.1038128906249998</v>
      </c>
      <c r="L118" s="33">
        <f>Assumptions!L29</f>
        <v>1.1314082128906247</v>
      </c>
      <c r="M118" s="33">
        <f>Assumptions!M29</f>
        <v>1.1596934182128902</v>
      </c>
      <c r="N118" s="33">
        <f>Assumptions!N29</f>
        <v>1.1886857536682123</v>
      </c>
      <c r="O118" s="33">
        <f>Assumptions!O29</f>
        <v>1.2184028975099175</v>
      </c>
      <c r="P118" s="33">
        <f>Assumptions!P29</f>
        <v>1.2488629699476652</v>
      </c>
    </row>
    <row r="119" spans="1:16" x14ac:dyDescent="0.35">
      <c r="C119" s="9" t="s">
        <v>79</v>
      </c>
      <c r="G119" s="33">
        <f>Assumptions!G30</f>
        <v>1</v>
      </c>
      <c r="H119" s="33">
        <f>Assumptions!H30</f>
        <v>1.0225</v>
      </c>
      <c r="I119" s="33">
        <f>Assumptions!I30</f>
        <v>1.0455062499999999</v>
      </c>
      <c r="J119" s="33">
        <f>Assumptions!J30</f>
        <v>1.0690301406249998</v>
      </c>
      <c r="K119" s="33">
        <f>Assumptions!K30</f>
        <v>1.0930833187890623</v>
      </c>
      <c r="L119" s="33">
        <f>Assumptions!L30</f>
        <v>1.1176776934618162</v>
      </c>
      <c r="M119" s="33">
        <f>Assumptions!M30</f>
        <v>1.142825441564707</v>
      </c>
      <c r="N119" s="33">
        <f>Assumptions!N30</f>
        <v>1.1685390139999128</v>
      </c>
      <c r="O119" s="33">
        <f>Assumptions!O30</f>
        <v>1.1948311418149107</v>
      </c>
      <c r="P119" s="33">
        <f>Assumptions!P30</f>
        <v>1.221714842505746</v>
      </c>
    </row>
    <row r="120" spans="1:16" x14ac:dyDescent="0.35">
      <c r="C120" s="9" t="s">
        <v>82</v>
      </c>
      <c r="G120" s="33">
        <f>Assumptions!G31</f>
        <v>1</v>
      </c>
      <c r="H120" s="33">
        <f>Assumptions!H31</f>
        <v>1.0249999999999999</v>
      </c>
      <c r="I120" s="33">
        <f>Assumptions!I31</f>
        <v>1.0506249999999999</v>
      </c>
      <c r="J120" s="33">
        <f>Assumptions!J31</f>
        <v>1.0768906249999999</v>
      </c>
      <c r="K120" s="33">
        <f>Assumptions!K31</f>
        <v>1.1038128906249998</v>
      </c>
      <c r="L120" s="33">
        <f>Assumptions!L31</f>
        <v>1.1314082128906247</v>
      </c>
      <c r="M120" s="33">
        <f>Assumptions!M31</f>
        <v>1.1596934182128902</v>
      </c>
      <c r="N120" s="33">
        <f>Assumptions!N31</f>
        <v>1.1886857536682123</v>
      </c>
      <c r="O120" s="33">
        <f>Assumptions!O31</f>
        <v>1.2184028975099175</v>
      </c>
      <c r="P120" s="33">
        <f>Assumptions!P31</f>
        <v>1.2488629699476652</v>
      </c>
    </row>
    <row r="122" spans="1:16" x14ac:dyDescent="0.35">
      <c r="C122" s="9" t="s">
        <v>86</v>
      </c>
      <c r="D122" s="9" t="s">
        <v>87</v>
      </c>
      <c r="E122" s="20">
        <f>E107</f>
        <v>63</v>
      </c>
      <c r="F122" s="20"/>
      <c r="G122" s="20">
        <f>$E122*G118</f>
        <v>63</v>
      </c>
      <c r="H122" s="20">
        <f t="shared" ref="H122:P122" si="1">$E122*H118</f>
        <v>64.574999999999989</v>
      </c>
      <c r="I122" s="20">
        <f t="shared" si="1"/>
        <v>66.189374999999998</v>
      </c>
      <c r="J122" s="20">
        <f t="shared" si="1"/>
        <v>67.844109374999988</v>
      </c>
      <c r="K122" s="20">
        <f t="shared" si="1"/>
        <v>69.540212109374991</v>
      </c>
      <c r="L122" s="20">
        <f t="shared" si="1"/>
        <v>71.278717412109359</v>
      </c>
      <c r="M122" s="20">
        <f t="shared" si="1"/>
        <v>73.060685347412075</v>
      </c>
      <c r="N122" s="20">
        <f t="shared" si="1"/>
        <v>74.887202481097376</v>
      </c>
      <c r="O122" s="20">
        <f t="shared" si="1"/>
        <v>76.759382543124801</v>
      </c>
      <c r="P122" s="20">
        <f t="shared" si="1"/>
        <v>78.678367106702908</v>
      </c>
    </row>
    <row r="123" spans="1:16" x14ac:dyDescent="0.35">
      <c r="C123" s="9" t="s">
        <v>126</v>
      </c>
      <c r="D123" s="9" t="s">
        <v>88</v>
      </c>
      <c r="E123" s="20">
        <f>E108</f>
        <v>40</v>
      </c>
      <c r="F123" s="20"/>
      <c r="G123" s="20">
        <f>$E123*G118</f>
        <v>40</v>
      </c>
      <c r="H123" s="20">
        <f t="shared" ref="H123:P123" si="2">$E123*H118</f>
        <v>41</v>
      </c>
      <c r="I123" s="20">
        <f t="shared" si="2"/>
        <v>42.024999999999999</v>
      </c>
      <c r="J123" s="20">
        <f t="shared" si="2"/>
        <v>43.075624999999995</v>
      </c>
      <c r="K123" s="20">
        <f t="shared" si="2"/>
        <v>44.152515624999992</v>
      </c>
      <c r="L123" s="20">
        <f t="shared" si="2"/>
        <v>45.256328515624986</v>
      </c>
      <c r="M123" s="20">
        <f t="shared" si="2"/>
        <v>46.387736728515605</v>
      </c>
      <c r="N123" s="20">
        <f t="shared" si="2"/>
        <v>47.547430146728487</v>
      </c>
      <c r="O123" s="20">
        <f t="shared" si="2"/>
        <v>48.736115900396697</v>
      </c>
      <c r="P123" s="20">
        <f t="shared" si="2"/>
        <v>49.954518797906609</v>
      </c>
    </row>
    <row r="125" spans="1:16" s="34" customFormat="1" x14ac:dyDescent="0.35">
      <c r="A125" s="34" t="s">
        <v>123</v>
      </c>
      <c r="C125" s="35"/>
      <c r="D125" s="35"/>
      <c r="E125" s="36"/>
    </row>
    <row r="126" spans="1:16" x14ac:dyDescent="0.35">
      <c r="C126" s="8" t="s">
        <v>80</v>
      </c>
      <c r="D126" s="8" t="s">
        <v>56</v>
      </c>
      <c r="E126" s="26">
        <f ca="1">E114</f>
        <v>1.9E-2</v>
      </c>
      <c r="G126" s="18">
        <f ca="1">$E126</f>
        <v>1.9E-2</v>
      </c>
      <c r="H126" s="18">
        <f t="shared" ref="H126:P126" ca="1" si="3">$E126</f>
        <v>1.9E-2</v>
      </c>
      <c r="I126" s="18">
        <f t="shared" ca="1" si="3"/>
        <v>1.9E-2</v>
      </c>
      <c r="J126" s="18">
        <f t="shared" ca="1" si="3"/>
        <v>1.9E-2</v>
      </c>
      <c r="K126" s="18">
        <f t="shared" ca="1" si="3"/>
        <v>1.9E-2</v>
      </c>
      <c r="L126" s="18">
        <f t="shared" ca="1" si="3"/>
        <v>1.9E-2</v>
      </c>
      <c r="M126" s="18">
        <f t="shared" ca="1" si="3"/>
        <v>1.9E-2</v>
      </c>
      <c r="N126" s="18">
        <f t="shared" ca="1" si="3"/>
        <v>1.9E-2</v>
      </c>
      <c r="O126" s="18">
        <f t="shared" ca="1" si="3"/>
        <v>1.9E-2</v>
      </c>
      <c r="P126" s="18">
        <f t="shared" ca="1" si="3"/>
        <v>1.9E-2</v>
      </c>
    </row>
    <row r="127" spans="1:16" x14ac:dyDescent="0.35">
      <c r="C127" s="8" t="s">
        <v>96</v>
      </c>
      <c r="D127" s="8" t="s">
        <v>65</v>
      </c>
      <c r="E127" s="25"/>
      <c r="G127" s="20">
        <f>-G40</f>
        <v>20931</v>
      </c>
      <c r="H127" s="20">
        <f>-H40</f>
        <v>21402</v>
      </c>
      <c r="I127" s="20">
        <f>-I40</f>
        <v>21884</v>
      </c>
      <c r="J127" s="20">
        <f>-J40</f>
        <v>22376</v>
      </c>
      <c r="K127" s="20">
        <f>-K40</f>
        <v>22880</v>
      </c>
      <c r="L127" s="20">
        <f>-L40</f>
        <v>23395</v>
      </c>
      <c r="M127" s="20">
        <f>-M40</f>
        <v>23921</v>
      </c>
      <c r="N127" s="20">
        <f>-N40</f>
        <v>24459</v>
      </c>
      <c r="O127" s="20">
        <f>-O40</f>
        <v>25010</v>
      </c>
      <c r="P127" s="20">
        <f>-P40</f>
        <v>25572</v>
      </c>
    </row>
    <row r="128" spans="1:16" x14ac:dyDescent="0.35">
      <c r="C128" s="8" t="s">
        <v>95</v>
      </c>
      <c r="D128" s="8" t="s">
        <v>65</v>
      </c>
      <c r="E128" s="25">
        <f ca="1">E98</f>
        <v>1050950</v>
      </c>
      <c r="G128" s="20">
        <f ca="1">$E128*G126</f>
        <v>19968.05</v>
      </c>
      <c r="H128" s="20">
        <f ca="1">$E$128*H126</f>
        <v>19968.05</v>
      </c>
      <c r="I128" s="20">
        <f ca="1">$E$128*I126</f>
        <v>19968.05</v>
      </c>
      <c r="J128" s="20">
        <f ca="1">$E$128*J126</f>
        <v>19968.05</v>
      </c>
      <c r="K128" s="20">
        <f ca="1">$E$128*K126</f>
        <v>19968.05</v>
      </c>
      <c r="L128" s="20">
        <f ca="1">$E$128*L126</f>
        <v>19968.05</v>
      </c>
      <c r="M128" s="20">
        <f ca="1">$E$128*M126</f>
        <v>19968.05</v>
      </c>
      <c r="N128" s="20">
        <f ca="1">$E$128*N126</f>
        <v>19968.05</v>
      </c>
      <c r="O128" s="20">
        <f ca="1">$E$128*O126</f>
        <v>19968.05</v>
      </c>
      <c r="P128" s="20">
        <f ca="1">$E$128*P126</f>
        <v>19968.05</v>
      </c>
    </row>
    <row r="129" spans="1:16" x14ac:dyDescent="0.35">
      <c r="C129" s="8" t="s">
        <v>125</v>
      </c>
      <c r="D129" s="8" t="s">
        <v>65</v>
      </c>
      <c r="E129" s="25"/>
      <c r="G129" s="20">
        <f ca="1">G128*G119</f>
        <v>19968.05</v>
      </c>
      <c r="H129" s="20">
        <f t="shared" ref="H129:P129" ca="1" si="4">H128*H119</f>
        <v>20417.331124999997</v>
      </c>
      <c r="I129" s="20">
        <f t="shared" ca="1" si="4"/>
        <v>20876.721075312496</v>
      </c>
      <c r="J129" s="20">
        <f t="shared" ca="1" si="4"/>
        <v>21346.447299507025</v>
      </c>
      <c r="K129" s="20">
        <f t="shared" ca="1" si="4"/>
        <v>21826.742363745936</v>
      </c>
      <c r="L129" s="20">
        <f t="shared" ca="1" si="4"/>
        <v>22317.844066930218</v>
      </c>
      <c r="M129" s="20">
        <f t="shared" ca="1" si="4"/>
        <v>22819.995558436145</v>
      </c>
      <c r="N129" s="20">
        <f t="shared" ca="1" si="4"/>
        <v>23333.445458500959</v>
      </c>
      <c r="O129" s="20">
        <f t="shared" ca="1" si="4"/>
        <v>23858.447981317226</v>
      </c>
      <c r="P129" s="20">
        <f t="shared" ca="1" si="4"/>
        <v>24395.263060896861</v>
      </c>
    </row>
    <row r="130" spans="1:16" x14ac:dyDescent="0.35">
      <c r="C130" s="8" t="s">
        <v>124</v>
      </c>
      <c r="D130" s="8" t="s">
        <v>65</v>
      </c>
      <c r="E130" s="25"/>
      <c r="G130" s="20">
        <f ca="1">G129-G127</f>
        <v>-962.95000000000073</v>
      </c>
      <c r="H130" s="20">
        <f t="shared" ref="H130:P130" ca="1" si="5">H129-H127</f>
        <v>-984.66887500000303</v>
      </c>
      <c r="I130" s="20">
        <f t="shared" ca="1" si="5"/>
        <v>-1007.2789246875036</v>
      </c>
      <c r="J130" s="20">
        <f t="shared" ca="1" si="5"/>
        <v>-1029.5527004929754</v>
      </c>
      <c r="K130" s="20">
        <f t="shared" ca="1" si="5"/>
        <v>-1053.257636254064</v>
      </c>
      <c r="L130" s="20">
        <f t="shared" ca="1" si="5"/>
        <v>-1077.1559330697819</v>
      </c>
      <c r="M130" s="20">
        <f t="shared" ca="1" si="5"/>
        <v>-1101.0044415638549</v>
      </c>
      <c r="N130" s="20">
        <f t="shared" ca="1" si="5"/>
        <v>-1125.5545414990411</v>
      </c>
      <c r="O130" s="20">
        <f t="shared" ca="1" si="5"/>
        <v>-1151.5520186827744</v>
      </c>
      <c r="P130" s="20">
        <f t="shared" ca="1" si="5"/>
        <v>-1176.7369391031389</v>
      </c>
    </row>
    <row r="131" spans="1:16" x14ac:dyDescent="0.35">
      <c r="C131" s="8" t="s">
        <v>101</v>
      </c>
      <c r="D131" s="8"/>
      <c r="E131" s="25"/>
      <c r="G131" s="18">
        <f ca="1">G130/G128</f>
        <v>-4.8224538700574207E-2</v>
      </c>
      <c r="H131" s="18">
        <f t="shared" ref="H131:P131" ca="1" si="6">H130/H128</f>
        <v>-4.9312220021484478E-2</v>
      </c>
      <c r="I131" s="18">
        <f t="shared" ca="1" si="6"/>
        <v>-5.0444531373243937E-2</v>
      </c>
      <c r="J131" s="18">
        <f t="shared" ca="1" si="6"/>
        <v>-5.1560002128048329E-2</v>
      </c>
      <c r="K131" s="18">
        <f t="shared" ca="1" si="6"/>
        <v>-5.2747145377443669E-2</v>
      </c>
      <c r="L131" s="18">
        <f t="shared" ca="1" si="6"/>
        <v>-5.394397214899712E-2</v>
      </c>
      <c r="M131" s="18">
        <f t="shared" ca="1" si="6"/>
        <v>-5.5138305521262969E-2</v>
      </c>
      <c r="N131" s="18">
        <f t="shared" ca="1" si="6"/>
        <v>-5.6367774594867359E-2</v>
      </c>
      <c r="O131" s="18">
        <f t="shared" ca="1" si="6"/>
        <v>-5.7669728325138128E-2</v>
      </c>
      <c r="P131" s="18">
        <f t="shared" ca="1" si="6"/>
        <v>-5.8930989210420594E-2</v>
      </c>
    </row>
    <row r="132" spans="1:16" x14ac:dyDescent="0.35">
      <c r="C132" s="8"/>
      <c r="D132" s="8"/>
      <c r="E132" s="26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1:16" x14ac:dyDescent="0.35">
      <c r="C133" s="9" t="s">
        <v>127</v>
      </c>
      <c r="D133" s="9" t="s">
        <v>65</v>
      </c>
      <c r="E133" s="23">
        <f>-G42</f>
        <v>80549</v>
      </c>
      <c r="F133" s="20"/>
      <c r="G133" s="20">
        <f>-G42</f>
        <v>80549</v>
      </c>
      <c r="H133" s="20">
        <f>-H42</f>
        <v>82546</v>
      </c>
      <c r="I133" s="20">
        <f>-I42</f>
        <v>84594</v>
      </c>
      <c r="J133" s="20">
        <f>-J42</f>
        <v>86692</v>
      </c>
      <c r="K133" s="20">
        <f>-K42</f>
        <v>88841</v>
      </c>
      <c r="L133" s="20">
        <f>-L42</f>
        <v>91045</v>
      </c>
      <c r="M133" s="20">
        <f>-M42</f>
        <v>93303</v>
      </c>
      <c r="N133" s="20">
        <f>-N42</f>
        <v>95617</v>
      </c>
      <c r="O133" s="20">
        <f>-O42</f>
        <v>97988</v>
      </c>
      <c r="P133" s="20">
        <f>-P42</f>
        <v>100418</v>
      </c>
    </row>
    <row r="134" spans="1:16" x14ac:dyDescent="0.35">
      <c r="C134" s="9" t="s">
        <v>91</v>
      </c>
      <c r="D134" s="9" t="s">
        <v>65</v>
      </c>
      <c r="E134" s="20">
        <f>E113</f>
        <v>48</v>
      </c>
      <c r="F134" s="20"/>
      <c r="G134" s="20">
        <f>$E134*G120</f>
        <v>48</v>
      </c>
      <c r="H134" s="20">
        <f t="shared" ref="H134:P134" si="7">$E134*H120</f>
        <v>49.199999999999996</v>
      </c>
      <c r="I134" s="20">
        <f t="shared" si="7"/>
        <v>50.429999999999993</v>
      </c>
      <c r="J134" s="20">
        <f t="shared" si="7"/>
        <v>51.690749999999994</v>
      </c>
      <c r="K134" s="20">
        <f t="shared" si="7"/>
        <v>52.983018749999985</v>
      </c>
      <c r="L134" s="20">
        <f t="shared" si="7"/>
        <v>54.307594218749983</v>
      </c>
      <c r="M134" s="20">
        <f t="shared" si="7"/>
        <v>55.665284074218732</v>
      </c>
      <c r="N134" s="20">
        <f t="shared" si="7"/>
        <v>57.056916176074189</v>
      </c>
      <c r="O134" s="20">
        <f t="shared" si="7"/>
        <v>58.483339080476043</v>
      </c>
      <c r="P134" s="20">
        <f t="shared" si="7"/>
        <v>59.94542255748793</v>
      </c>
    </row>
    <row r="135" spans="1:16" x14ac:dyDescent="0.35">
      <c r="C135" s="9" t="s">
        <v>128</v>
      </c>
      <c r="D135" s="9" t="s">
        <v>54</v>
      </c>
      <c r="G135" s="20">
        <f>G133/G134</f>
        <v>1678.1041666666667</v>
      </c>
      <c r="H135" s="20">
        <f t="shared" ref="H135:P135" si="8">H133/H134</f>
        <v>1677.7642276422766</v>
      </c>
      <c r="I135" s="20">
        <f t="shared" si="8"/>
        <v>1677.4538964901847</v>
      </c>
      <c r="J135" s="20">
        <f t="shared" si="8"/>
        <v>1677.1279194053097</v>
      </c>
      <c r="K135" s="20">
        <f t="shared" si="8"/>
        <v>1676.7825257219799</v>
      </c>
      <c r="L135" s="20">
        <f t="shared" si="8"/>
        <v>1676.4690336543435</v>
      </c>
      <c r="M135" s="20">
        <f t="shared" si="8"/>
        <v>1676.1434267648533</v>
      </c>
      <c r="N135" s="20">
        <f t="shared" si="8"/>
        <v>1675.8178746452354</v>
      </c>
      <c r="O135" s="20">
        <f t="shared" si="8"/>
        <v>1675.4857287673594</v>
      </c>
      <c r="P135" s="20">
        <f t="shared" si="8"/>
        <v>1675.1570965022172</v>
      </c>
    </row>
    <row r="136" spans="1:16" x14ac:dyDescent="0.35"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x14ac:dyDescent="0.35">
      <c r="C137" s="9" t="s">
        <v>51</v>
      </c>
      <c r="D137" s="9" t="s">
        <v>56</v>
      </c>
      <c r="E137" s="19">
        <f ca="1">E64</f>
        <v>0.89</v>
      </c>
      <c r="G137" s="19">
        <f ca="1">$E137</f>
        <v>0.89</v>
      </c>
      <c r="H137" s="19">
        <f t="shared" ref="H137:P137" ca="1" si="9">$E137</f>
        <v>0.89</v>
      </c>
      <c r="I137" s="19">
        <f t="shared" ca="1" si="9"/>
        <v>0.89</v>
      </c>
      <c r="J137" s="19">
        <f t="shared" ca="1" si="9"/>
        <v>0.89</v>
      </c>
      <c r="K137" s="19">
        <f t="shared" ca="1" si="9"/>
        <v>0.89</v>
      </c>
      <c r="L137" s="19">
        <f t="shared" ca="1" si="9"/>
        <v>0.89</v>
      </c>
      <c r="M137" s="19">
        <f t="shared" ca="1" si="9"/>
        <v>0.89</v>
      </c>
      <c r="N137" s="19">
        <f t="shared" ca="1" si="9"/>
        <v>0.89</v>
      </c>
      <c r="O137" s="19">
        <f t="shared" ca="1" si="9"/>
        <v>0.89</v>
      </c>
      <c r="P137" s="19">
        <f t="shared" ca="1" si="9"/>
        <v>0.89</v>
      </c>
    </row>
    <row r="138" spans="1:16" x14ac:dyDescent="0.35">
      <c r="C138" s="9" t="s">
        <v>92</v>
      </c>
      <c r="D138" s="9" t="s">
        <v>54</v>
      </c>
      <c r="E138" s="19"/>
      <c r="G138" s="20">
        <f ca="1">G137*G135</f>
        <v>1493.5127083333334</v>
      </c>
      <c r="H138" s="20">
        <f t="shared" ref="G138:P138" ca="1" si="10">H137*H135</f>
        <v>1493.2101626016263</v>
      </c>
      <c r="I138" s="20">
        <f t="shared" ca="1" si="10"/>
        <v>1492.9339678762644</v>
      </c>
      <c r="J138" s="20">
        <f t="shared" ca="1" si="10"/>
        <v>1492.6438482707256</v>
      </c>
      <c r="K138" s="20">
        <f t="shared" ca="1" si="10"/>
        <v>1492.3364478925621</v>
      </c>
      <c r="L138" s="20">
        <f t="shared" ca="1" si="10"/>
        <v>1492.0574399523657</v>
      </c>
      <c r="M138" s="20">
        <f t="shared" ca="1" si="10"/>
        <v>1491.7676498207195</v>
      </c>
      <c r="N138" s="20">
        <f t="shared" ca="1" si="10"/>
        <v>1491.4779084342595</v>
      </c>
      <c r="O138" s="20">
        <f t="shared" ca="1" si="10"/>
        <v>1491.1822986029499</v>
      </c>
      <c r="P138" s="20">
        <f t="shared" ca="1" si="10"/>
        <v>1490.8898158869733</v>
      </c>
    </row>
    <row r="139" spans="1:16" x14ac:dyDescent="0.35">
      <c r="C139" s="9" t="s">
        <v>105</v>
      </c>
      <c r="E139" s="19"/>
      <c r="G139" s="20"/>
      <c r="H139" s="18">
        <f ca="1">H138/G138-1</f>
        <v>-2.0257325566697126E-4</v>
      </c>
      <c r="I139" s="18">
        <f t="shared" ref="I139:P139" ca="1" si="11">I138/H138-1</f>
        <v>-1.8496708117810012E-4</v>
      </c>
      <c r="J139" s="18">
        <f t="shared" ca="1" si="11"/>
        <v>-1.9432849126710394E-4</v>
      </c>
      <c r="K139" s="18">
        <f t="shared" ca="1" si="11"/>
        <v>-2.0594355346026383E-4</v>
      </c>
      <c r="L139" s="18">
        <f t="shared" ca="1" si="11"/>
        <v>-1.8696048105670826E-4</v>
      </c>
      <c r="M139" s="18">
        <f t="shared" ca="1" si="11"/>
        <v>-1.9422183348083433E-4</v>
      </c>
      <c r="N139" s="18">
        <f t="shared" ca="1" si="11"/>
        <v>-1.942268868042607E-4</v>
      </c>
      <c r="O139" s="18">
        <f t="shared" ca="1" si="11"/>
        <v>-1.9819926908593022E-4</v>
      </c>
      <c r="P139" s="18">
        <f t="shared" ca="1" si="11"/>
        <v>-1.9614148870372716E-4</v>
      </c>
    </row>
    <row r="140" spans="1:16" x14ac:dyDescent="0.35">
      <c r="C140" s="9" t="s">
        <v>146</v>
      </c>
      <c r="D140" s="9" t="s">
        <v>54</v>
      </c>
      <c r="E140" s="19"/>
      <c r="G140" s="20">
        <f ca="1">G62</f>
        <v>1459</v>
      </c>
      <c r="H140" s="20">
        <f t="shared" ref="H140:P140" ca="1" si="12">H62</f>
        <v>1459</v>
      </c>
      <c r="I140" s="20">
        <f t="shared" ca="1" si="12"/>
        <v>1459</v>
      </c>
      <c r="J140" s="20">
        <f t="shared" ca="1" si="12"/>
        <v>1459</v>
      </c>
      <c r="K140" s="20">
        <f t="shared" ca="1" si="12"/>
        <v>1459</v>
      </c>
      <c r="L140" s="20">
        <f t="shared" ca="1" si="12"/>
        <v>1459</v>
      </c>
      <c r="M140" s="20">
        <f t="shared" ca="1" si="12"/>
        <v>1459</v>
      </c>
      <c r="N140" s="20">
        <f t="shared" ca="1" si="12"/>
        <v>1459</v>
      </c>
      <c r="O140" s="20">
        <f t="shared" ca="1" si="12"/>
        <v>1459</v>
      </c>
      <c r="P140" s="20">
        <f t="shared" ca="1" si="12"/>
        <v>1459</v>
      </c>
    </row>
    <row r="142" spans="1:16" s="34" customFormat="1" x14ac:dyDescent="0.35">
      <c r="A142" s="34" t="s">
        <v>129</v>
      </c>
    </row>
    <row r="143" spans="1:16" x14ac:dyDescent="0.35">
      <c r="C143" s="9" t="s">
        <v>97</v>
      </c>
      <c r="D143" s="9" t="s">
        <v>131</v>
      </c>
      <c r="G143" s="23">
        <f>G37</f>
        <v>266566</v>
      </c>
      <c r="H143" s="23">
        <f>H37</f>
        <v>273230</v>
      </c>
      <c r="I143" s="23">
        <f>I37</f>
        <v>280060</v>
      </c>
      <c r="J143" s="23">
        <f>J37</f>
        <v>287062</v>
      </c>
      <c r="K143" s="23">
        <f>K37</f>
        <v>294239</v>
      </c>
      <c r="L143" s="23">
        <f>L37</f>
        <v>301595</v>
      </c>
      <c r="M143" s="23">
        <f>M37</f>
        <v>309134</v>
      </c>
      <c r="N143" s="23">
        <f>N37</f>
        <v>316863</v>
      </c>
      <c r="O143" s="23">
        <f>O37</f>
        <v>324784</v>
      </c>
      <c r="P143" s="23">
        <f>P37</f>
        <v>332904</v>
      </c>
    </row>
    <row r="144" spans="1:16" x14ac:dyDescent="0.35">
      <c r="C144" s="9" t="s">
        <v>130</v>
      </c>
      <c r="D144" s="9" t="s">
        <v>88</v>
      </c>
      <c r="G144" s="20">
        <f>G123</f>
        <v>40</v>
      </c>
      <c r="H144" s="20">
        <f>H123</f>
        <v>41</v>
      </c>
      <c r="I144" s="20">
        <f>I123</f>
        <v>42.024999999999999</v>
      </c>
      <c r="J144" s="20">
        <f>J123</f>
        <v>43.075624999999995</v>
      </c>
      <c r="K144" s="20">
        <f>K123</f>
        <v>44.152515624999992</v>
      </c>
      <c r="L144" s="20">
        <f>L123</f>
        <v>45.256328515624986</v>
      </c>
      <c r="M144" s="20">
        <f>M123</f>
        <v>46.387736728515605</v>
      </c>
      <c r="N144" s="20">
        <f>N123</f>
        <v>47.547430146728487</v>
      </c>
      <c r="O144" s="20">
        <f>O123</f>
        <v>48.736115900396697</v>
      </c>
      <c r="P144" s="20">
        <f>P123</f>
        <v>49.954518797906609</v>
      </c>
    </row>
    <row r="145" spans="3:16" x14ac:dyDescent="0.35">
      <c r="C145" s="9" t="s">
        <v>149</v>
      </c>
      <c r="D145" s="9" t="s">
        <v>54</v>
      </c>
      <c r="G145" s="20">
        <f>G143/G144</f>
        <v>6664.15</v>
      </c>
      <c r="H145" s="20">
        <f t="shared" ref="H145:P145" si="13">H143/H144</f>
        <v>6664.1463414634145</v>
      </c>
      <c r="I145" s="20">
        <f t="shared" si="13"/>
        <v>6664.1284949434867</v>
      </c>
      <c r="J145" s="20">
        <f t="shared" si="13"/>
        <v>6664.140102436123</v>
      </c>
      <c r="K145" s="20">
        <f t="shared" si="13"/>
        <v>6664.1502943808773</v>
      </c>
      <c r="L145" s="20">
        <f t="shared" si="13"/>
        <v>6664.1508467898084</v>
      </c>
      <c r="M145" s="20">
        <f t="shared" si="13"/>
        <v>6664.1319840458664</v>
      </c>
      <c r="N145" s="20">
        <f t="shared" si="13"/>
        <v>6664.1456546059371</v>
      </c>
      <c r="O145" s="20">
        <f t="shared" si="13"/>
        <v>6664.1338563739819</v>
      </c>
      <c r="P145" s="20">
        <f t="shared" si="13"/>
        <v>6664.1418636576009</v>
      </c>
    </row>
    <row r="147" spans="3:16" x14ac:dyDescent="0.35">
      <c r="C147" s="9" t="s">
        <v>132</v>
      </c>
      <c r="D147" s="9" t="s">
        <v>65</v>
      </c>
      <c r="G147" s="23">
        <f>(G35+G36)</f>
        <v>23888</v>
      </c>
      <c r="H147" s="23">
        <f>(H35+H36)</f>
        <v>24486</v>
      </c>
      <c r="I147" s="23">
        <f>(I35+I36)</f>
        <v>25098</v>
      </c>
      <c r="J147" s="23">
        <f>(J35+J36)</f>
        <v>25726</v>
      </c>
      <c r="K147" s="23">
        <f>(K35+K36)</f>
        <v>26368</v>
      </c>
      <c r="L147" s="23">
        <f>(L35+L36)</f>
        <v>27028</v>
      </c>
      <c r="M147" s="23">
        <f>(M35+M36)</f>
        <v>27703</v>
      </c>
      <c r="N147" s="23">
        <f>(N35+N36)</f>
        <v>28396</v>
      </c>
      <c r="O147" s="23">
        <f>(O35+O36)</f>
        <v>29106</v>
      </c>
      <c r="P147" s="23">
        <f>(P35+P36)</f>
        <v>29833</v>
      </c>
    </row>
    <row r="148" spans="3:16" x14ac:dyDescent="0.35">
      <c r="C148" s="9" t="s">
        <v>46</v>
      </c>
      <c r="D148" s="9" t="s">
        <v>47</v>
      </c>
      <c r="E148" s="14">
        <f ca="1">E58</f>
        <v>2000</v>
      </c>
      <c r="G148" s="14">
        <f ca="1">$E148</f>
        <v>2000</v>
      </c>
      <c r="H148" s="14">
        <f t="shared" ref="H148:P148" ca="1" si="14">$E148</f>
        <v>2000</v>
      </c>
      <c r="I148" s="14">
        <f t="shared" ca="1" si="14"/>
        <v>2000</v>
      </c>
      <c r="J148" s="14">
        <f t="shared" ca="1" si="14"/>
        <v>2000</v>
      </c>
      <c r="K148" s="14">
        <f t="shared" ca="1" si="14"/>
        <v>2000</v>
      </c>
      <c r="L148" s="14">
        <f t="shared" ca="1" si="14"/>
        <v>2000</v>
      </c>
      <c r="M148" s="14">
        <f t="shared" ca="1" si="14"/>
        <v>2000</v>
      </c>
      <c r="N148" s="14">
        <f t="shared" ca="1" si="14"/>
        <v>2000</v>
      </c>
      <c r="O148" s="14">
        <f t="shared" ca="1" si="14"/>
        <v>2000</v>
      </c>
      <c r="P148" s="14">
        <f t="shared" ca="1" si="14"/>
        <v>2000</v>
      </c>
    </row>
    <row r="149" spans="3:16" x14ac:dyDescent="0.35">
      <c r="C149" s="9" t="s">
        <v>133</v>
      </c>
      <c r="D149" s="9" t="s">
        <v>87</v>
      </c>
      <c r="G149" s="20">
        <f ca="1">G147/G148</f>
        <v>11.944000000000001</v>
      </c>
      <c r="H149" s="20">
        <f t="shared" ref="H149:P149" ca="1" si="15">H147/H148</f>
        <v>12.243</v>
      </c>
      <c r="I149" s="20">
        <f t="shared" ca="1" si="15"/>
        <v>12.548999999999999</v>
      </c>
      <c r="J149" s="20">
        <f t="shared" ca="1" si="15"/>
        <v>12.863</v>
      </c>
      <c r="K149" s="20">
        <f t="shared" ca="1" si="15"/>
        <v>13.183999999999999</v>
      </c>
      <c r="L149" s="20">
        <f t="shared" ca="1" si="15"/>
        <v>13.513999999999999</v>
      </c>
      <c r="M149" s="20">
        <f t="shared" ca="1" si="15"/>
        <v>13.8515</v>
      </c>
      <c r="N149" s="20">
        <f t="shared" ca="1" si="15"/>
        <v>14.198</v>
      </c>
      <c r="O149" s="20">
        <f t="shared" ca="1" si="15"/>
        <v>14.553000000000001</v>
      </c>
      <c r="P149" s="20">
        <f t="shared" ca="1" si="15"/>
        <v>14.916499999999999</v>
      </c>
    </row>
    <row r="150" spans="3:16" x14ac:dyDescent="0.35">
      <c r="C150" s="9" t="s">
        <v>151</v>
      </c>
      <c r="D150" s="9" t="s">
        <v>87</v>
      </c>
      <c r="G150" s="20">
        <f>G122</f>
        <v>63</v>
      </c>
      <c r="H150" s="20">
        <f t="shared" ref="H150:P150" si="16">H122</f>
        <v>64.574999999999989</v>
      </c>
      <c r="I150" s="20">
        <f t="shared" si="16"/>
        <v>66.189374999999998</v>
      </c>
      <c r="J150" s="20">
        <f t="shared" si="16"/>
        <v>67.844109374999988</v>
      </c>
      <c r="K150" s="20">
        <f t="shared" si="16"/>
        <v>69.540212109374991</v>
      </c>
      <c r="L150" s="20">
        <f t="shared" si="16"/>
        <v>71.278717412109359</v>
      </c>
      <c r="M150" s="20">
        <f t="shared" si="16"/>
        <v>73.060685347412075</v>
      </c>
      <c r="N150" s="20">
        <f t="shared" si="16"/>
        <v>74.887202481097376</v>
      </c>
      <c r="O150" s="20">
        <f t="shared" si="16"/>
        <v>76.759382543124801</v>
      </c>
      <c r="P150" s="20">
        <f t="shared" si="16"/>
        <v>78.678367106702908</v>
      </c>
    </row>
    <row r="152" spans="3:16" x14ac:dyDescent="0.35">
      <c r="C152" s="9" t="s">
        <v>134</v>
      </c>
      <c r="D152" s="9" t="s">
        <v>135</v>
      </c>
      <c r="E152" s="23">
        <f ca="1">E81</f>
        <v>1000</v>
      </c>
      <c r="G152" s="23">
        <f ca="1">$E152</f>
        <v>1000</v>
      </c>
      <c r="H152" s="23">
        <f t="shared" ref="H152:P152" ca="1" si="17">$E152</f>
        <v>1000</v>
      </c>
      <c r="I152" s="23">
        <f t="shared" ca="1" si="17"/>
        <v>1000</v>
      </c>
      <c r="J152" s="23">
        <f t="shared" ca="1" si="17"/>
        <v>1000</v>
      </c>
      <c r="K152" s="23">
        <f t="shared" ca="1" si="17"/>
        <v>1000</v>
      </c>
      <c r="L152" s="23">
        <f t="shared" ca="1" si="17"/>
        <v>1000</v>
      </c>
      <c r="M152" s="23">
        <f t="shared" ca="1" si="17"/>
        <v>1000</v>
      </c>
      <c r="N152" s="23">
        <f t="shared" ca="1" si="17"/>
        <v>1000</v>
      </c>
      <c r="O152" s="23">
        <f t="shared" ca="1" si="17"/>
        <v>1000</v>
      </c>
      <c r="P152" s="23">
        <f t="shared" ca="1" si="17"/>
        <v>1000</v>
      </c>
    </row>
    <row r="153" spans="3:16" x14ac:dyDescent="0.35">
      <c r="C153" s="9" t="s">
        <v>136</v>
      </c>
      <c r="D153" s="9" t="s">
        <v>87</v>
      </c>
      <c r="G153" s="20">
        <f ca="1">G147/G152</f>
        <v>23.888000000000002</v>
      </c>
      <c r="H153" s="20">
        <f t="shared" ref="H153:P153" ca="1" si="18">H147/H152</f>
        <v>24.486000000000001</v>
      </c>
      <c r="I153" s="20">
        <f t="shared" ca="1" si="18"/>
        <v>25.097999999999999</v>
      </c>
      <c r="J153" s="20">
        <f t="shared" ca="1" si="18"/>
        <v>25.725999999999999</v>
      </c>
      <c r="K153" s="20">
        <f t="shared" ca="1" si="18"/>
        <v>26.367999999999999</v>
      </c>
      <c r="L153" s="20">
        <f t="shared" ca="1" si="18"/>
        <v>27.027999999999999</v>
      </c>
      <c r="M153" s="20">
        <f t="shared" ca="1" si="18"/>
        <v>27.702999999999999</v>
      </c>
      <c r="N153" s="20">
        <f t="shared" ca="1" si="18"/>
        <v>28.396000000000001</v>
      </c>
      <c r="O153" s="20">
        <f t="shared" ca="1" si="18"/>
        <v>29.106000000000002</v>
      </c>
      <c r="P153" s="20">
        <f t="shared" ca="1" si="18"/>
        <v>29.832999999999998</v>
      </c>
    </row>
    <row r="155" spans="3:16" x14ac:dyDescent="0.35">
      <c r="C155" s="9" t="s">
        <v>57</v>
      </c>
      <c r="D155" s="9" t="s">
        <v>54</v>
      </c>
      <c r="G155" s="20">
        <f ca="1">G138</f>
        <v>1493.5127083333334</v>
      </c>
      <c r="H155" s="20">
        <f t="shared" ref="H155:P155" ca="1" si="19">H138</f>
        <v>1493.2101626016263</v>
      </c>
      <c r="I155" s="20">
        <f t="shared" ca="1" si="19"/>
        <v>1492.9339678762644</v>
      </c>
      <c r="J155" s="20">
        <f t="shared" ca="1" si="19"/>
        <v>1492.6438482707256</v>
      </c>
      <c r="K155" s="20">
        <f t="shared" ca="1" si="19"/>
        <v>1492.3364478925621</v>
      </c>
      <c r="L155" s="20">
        <f t="shared" ca="1" si="19"/>
        <v>1492.0574399523657</v>
      </c>
      <c r="M155" s="20">
        <f t="shared" ca="1" si="19"/>
        <v>1491.7676498207195</v>
      </c>
      <c r="N155" s="20">
        <f t="shared" ca="1" si="19"/>
        <v>1491.4779084342595</v>
      </c>
      <c r="O155" s="20">
        <f t="shared" ca="1" si="19"/>
        <v>1491.1822986029499</v>
      </c>
      <c r="P155" s="20">
        <f t="shared" ca="1" si="19"/>
        <v>1490.8898158869733</v>
      </c>
    </row>
    <row r="156" spans="3:16" x14ac:dyDescent="0.35">
      <c r="C156" s="9" t="s">
        <v>138</v>
      </c>
      <c r="D156" s="9" t="s">
        <v>88</v>
      </c>
      <c r="G156" s="20">
        <f ca="1">G147/G155</f>
        <v>15.994507356189496</v>
      </c>
      <c r="H156" s="20">
        <f t="shared" ref="H156:P156" ca="1" si="20">H147/H155</f>
        <v>16.398227532377586</v>
      </c>
      <c r="I156" s="20">
        <f t="shared" ca="1" si="20"/>
        <v>16.811192283140645</v>
      </c>
      <c r="J156" s="20">
        <f t="shared" ca="1" si="20"/>
        <v>17.235189780739976</v>
      </c>
      <c r="K156" s="20">
        <f t="shared" ca="1" si="20"/>
        <v>17.668937884105283</v>
      </c>
      <c r="L156" s="20">
        <f t="shared" ca="1" si="20"/>
        <v>18.114584114712684</v>
      </c>
      <c r="M156" s="20">
        <f t="shared" ca="1" si="20"/>
        <v>18.570586380076914</v>
      </c>
      <c r="N156" s="20">
        <f t="shared" ca="1" si="20"/>
        <v>19.038833789908342</v>
      </c>
      <c r="O156" s="20">
        <f t="shared" ca="1" si="20"/>
        <v>19.518740282303952</v>
      </c>
      <c r="P156" s="20">
        <f t="shared" ca="1" si="20"/>
        <v>20.010197723600044</v>
      </c>
    </row>
  </sheetData>
  <conditionalFormatting sqref="A1:XFD1048576">
    <cfRule type="containsText" dxfId="107" priority="1" operator="containsText" text="FALSE">
      <formula>NOT(ISERROR(SEARCH("FALSE",A1)))</formula>
    </cfRule>
    <cfRule type="cellIs" dxfId="106" priority="2" operator="equal">
      <formula>TRUE</formula>
    </cfRule>
    <cfRule type="containsText" dxfId="105" priority="3" operator="containsText" text="FALSE">
      <formula>NOT(ISERROR(SEARCH("FALSE",A1)))</formula>
    </cfRule>
    <cfRule type="cellIs" dxfId="104" priority="4" operator="equal">
      <formula>TRUE</formula>
    </cfRule>
    <cfRule type="containsText" dxfId="103" priority="5" operator="containsText" text="FALSE">
      <formula>NOT(ISERROR(SEARCH("FALSE",A1)))</formula>
    </cfRule>
    <cfRule type="cellIs" dxfId="102" priority="6" operator="equal">
      <formula>TRUE</formula>
    </cfRule>
    <cfRule type="containsText" dxfId="101" priority="7" operator="containsText" text="FALSE">
      <formula>NOT(ISERROR(SEARCH("FALSE",A1)))</formula>
    </cfRule>
    <cfRule type="cellIs" dxfId="100" priority="8" operator="equal">
      <formula>TRUE</formula>
    </cfRule>
    <cfRule type="containsText" dxfId="99" priority="9" operator="containsText" text="FALSE">
      <formula>NOT(ISERROR(SEARCH("FALSE",A1)))</formula>
    </cfRule>
    <cfRule type="cellIs" dxfId="98" priority="10" operator="equal">
      <formula>TRUE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157"/>
  <sheetViews>
    <sheetView workbookViewId="0">
      <pane xSplit="4" ySplit="1" topLeftCell="E51" activePane="bottomRight" state="frozen"/>
      <selection pane="topRight" activeCell="C1" sqref="C1"/>
      <selection pane="bottomLeft" activeCell="A2" sqref="A2"/>
      <selection pane="bottomRight" activeCell="D60" sqref="D60"/>
    </sheetView>
  </sheetViews>
  <sheetFormatPr defaultRowHeight="14.5" x14ac:dyDescent="0.35"/>
  <cols>
    <col min="1" max="2" width="2.26953125" style="9" customWidth="1"/>
    <col min="3" max="3" width="33.36328125" style="9" customWidth="1"/>
    <col min="4" max="4" width="10.54296875" style="9" customWidth="1"/>
    <col min="5" max="16" width="13.26953125" style="9" customWidth="1"/>
    <col min="17" max="16384" width="8.7265625" style="9"/>
  </cols>
  <sheetData>
    <row r="1" spans="6:16" x14ac:dyDescent="0.35">
      <c r="F1" s="27">
        <v>2016</v>
      </c>
      <c r="G1" s="27">
        <v>2017</v>
      </c>
      <c r="H1" s="27">
        <v>2018</v>
      </c>
      <c r="I1" s="27">
        <v>2019</v>
      </c>
      <c r="J1" s="27">
        <v>2020</v>
      </c>
      <c r="K1" s="27">
        <v>2021</v>
      </c>
      <c r="L1" s="27">
        <v>2022</v>
      </c>
      <c r="M1" s="27">
        <v>2023</v>
      </c>
      <c r="N1" s="27">
        <v>2024</v>
      </c>
      <c r="O1" s="27">
        <v>2025</v>
      </c>
      <c r="P1" s="27">
        <v>2026</v>
      </c>
    </row>
    <row r="35" spans="3:16" s="11" customFormat="1" x14ac:dyDescent="0.35">
      <c r="C35" s="11" t="s">
        <v>34</v>
      </c>
      <c r="F35" s="38">
        <v>0</v>
      </c>
      <c r="G35" s="38">
        <v>46098</v>
      </c>
      <c r="H35" s="38">
        <v>47250</v>
      </c>
      <c r="I35" s="38">
        <v>48432</v>
      </c>
      <c r="J35" s="38">
        <v>49643</v>
      </c>
      <c r="K35" s="38">
        <v>50884</v>
      </c>
      <c r="L35" s="38">
        <v>52156</v>
      </c>
      <c r="M35" s="38">
        <v>53460</v>
      </c>
      <c r="N35" s="38">
        <v>54796</v>
      </c>
      <c r="O35" s="38">
        <v>56166</v>
      </c>
      <c r="P35" s="38">
        <v>57570</v>
      </c>
    </row>
    <row r="36" spans="3:16" s="11" customFormat="1" x14ac:dyDescent="0.35">
      <c r="C36" s="11" t="s">
        <v>12</v>
      </c>
      <c r="F36" s="38">
        <v>0</v>
      </c>
      <c r="G36" s="38">
        <v>50922</v>
      </c>
      <c r="H36" s="38">
        <v>52195</v>
      </c>
      <c r="I36" s="38">
        <v>53500</v>
      </c>
      <c r="J36" s="38">
        <v>54837</v>
      </c>
      <c r="K36" s="38">
        <v>56208</v>
      </c>
      <c r="L36" s="38">
        <v>57614</v>
      </c>
      <c r="M36" s="38">
        <v>59054</v>
      </c>
      <c r="N36" s="38">
        <v>60530</v>
      </c>
      <c r="O36" s="38">
        <v>62044</v>
      </c>
      <c r="P36" s="38">
        <v>63595</v>
      </c>
    </row>
    <row r="37" spans="3:16" s="11" customFormat="1" x14ac:dyDescent="0.35">
      <c r="C37" s="11" t="s">
        <v>0</v>
      </c>
      <c r="F37" s="38">
        <v>0</v>
      </c>
      <c r="G37" s="38">
        <v>80063</v>
      </c>
      <c r="H37" s="38">
        <v>82064</v>
      </c>
      <c r="I37" s="38">
        <v>84116</v>
      </c>
      <c r="J37" s="38">
        <v>86219</v>
      </c>
      <c r="K37" s="38">
        <v>88374</v>
      </c>
      <c r="L37" s="38">
        <v>90584</v>
      </c>
      <c r="M37" s="38">
        <v>92848</v>
      </c>
      <c r="N37" s="38">
        <v>95169</v>
      </c>
      <c r="O37" s="38">
        <v>97549</v>
      </c>
      <c r="P37" s="38">
        <v>99987</v>
      </c>
    </row>
    <row r="38" spans="3:16" s="11" customFormat="1" x14ac:dyDescent="0.35">
      <c r="C38" s="11" t="s">
        <v>35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</row>
    <row r="39" spans="3:16" s="11" customFormat="1" ht="15" thickBot="1" x14ac:dyDescent="0.4">
      <c r="C39" s="12" t="s">
        <v>33</v>
      </c>
      <c r="D39" s="12"/>
      <c r="E39" s="12"/>
      <c r="F39" s="29">
        <v>0</v>
      </c>
      <c r="G39" s="29">
        <v>177083</v>
      </c>
      <c r="H39" s="29">
        <v>181510</v>
      </c>
      <c r="I39" s="29">
        <v>186048</v>
      </c>
      <c r="J39" s="29">
        <v>190699</v>
      </c>
      <c r="K39" s="29">
        <v>195466</v>
      </c>
      <c r="L39" s="29">
        <v>200353</v>
      </c>
      <c r="M39" s="29">
        <v>205362</v>
      </c>
      <c r="N39" s="29">
        <v>210496</v>
      </c>
      <c r="O39" s="29">
        <v>215758</v>
      </c>
      <c r="P39" s="29">
        <v>221152</v>
      </c>
    </row>
    <row r="40" spans="3:16" s="11" customFormat="1" x14ac:dyDescent="0.35"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3:16" s="11" customFormat="1" x14ac:dyDescent="0.35">
      <c r="C41" s="11" t="s">
        <v>27</v>
      </c>
      <c r="F41" s="38">
        <v>0</v>
      </c>
      <c r="G41" s="38">
        <v>-23706</v>
      </c>
      <c r="H41" s="38">
        <v>-24240</v>
      </c>
      <c r="I41" s="38">
        <v>-24785</v>
      </c>
      <c r="J41" s="38">
        <v>-25343</v>
      </c>
      <c r="K41" s="38">
        <v>-25913</v>
      </c>
      <c r="L41" s="38">
        <v>-26496</v>
      </c>
      <c r="M41" s="38">
        <v>-27092</v>
      </c>
      <c r="N41" s="38">
        <v>-27702</v>
      </c>
      <c r="O41" s="38">
        <v>-28325</v>
      </c>
      <c r="P41" s="38">
        <v>-28962</v>
      </c>
    </row>
    <row r="42" spans="3:16" s="11" customFormat="1" x14ac:dyDescent="0.35">
      <c r="C42" s="11" t="s">
        <v>28</v>
      </c>
      <c r="F42" s="38">
        <v>0</v>
      </c>
      <c r="G42" s="38">
        <v>0</v>
      </c>
      <c r="H42" s="38">
        <v>0</v>
      </c>
      <c r="I42" s="38">
        <v>-29790</v>
      </c>
      <c r="J42" s="38">
        <v>-29790</v>
      </c>
      <c r="K42" s="38">
        <v>-29790</v>
      </c>
      <c r="L42" s="38">
        <v>-29790</v>
      </c>
      <c r="M42" s="38">
        <v>-29790</v>
      </c>
      <c r="N42" s="38">
        <v>-29790</v>
      </c>
      <c r="O42" s="38">
        <v>-29790</v>
      </c>
      <c r="P42" s="38">
        <v>-29790</v>
      </c>
    </row>
    <row r="43" spans="3:16" s="11" customFormat="1" x14ac:dyDescent="0.35">
      <c r="C43" s="11" t="s">
        <v>29</v>
      </c>
      <c r="F43" s="38">
        <v>0</v>
      </c>
      <c r="G43" s="38">
        <v>-50818</v>
      </c>
      <c r="H43" s="38">
        <v>-52078</v>
      </c>
      <c r="I43" s="38">
        <v>-53369</v>
      </c>
      <c r="J43" s="38">
        <v>-54693</v>
      </c>
      <c r="K43" s="38">
        <v>-56049</v>
      </c>
      <c r="L43" s="38">
        <v>-57439</v>
      </c>
      <c r="M43" s="38">
        <v>-58864</v>
      </c>
      <c r="N43" s="38">
        <v>-60324</v>
      </c>
      <c r="O43" s="38">
        <v>-61820</v>
      </c>
      <c r="P43" s="38">
        <v>-63353</v>
      </c>
    </row>
    <row r="44" spans="3:16" s="11" customFormat="1" ht="15" thickBot="1" x14ac:dyDescent="0.4">
      <c r="C44" s="12" t="s">
        <v>36</v>
      </c>
      <c r="D44" s="12"/>
      <c r="E44" s="12"/>
      <c r="F44" s="29">
        <v>0</v>
      </c>
      <c r="G44" s="29">
        <v>-74524</v>
      </c>
      <c r="H44" s="29">
        <v>-76318</v>
      </c>
      <c r="I44" s="29">
        <v>-107944</v>
      </c>
      <c r="J44" s="29">
        <v>-109826</v>
      </c>
      <c r="K44" s="29">
        <v>-111752</v>
      </c>
      <c r="L44" s="29">
        <v>-113725</v>
      </c>
      <c r="M44" s="29">
        <v>-115746</v>
      </c>
      <c r="N44" s="29">
        <v>-117815</v>
      </c>
      <c r="O44" s="29">
        <v>-119935</v>
      </c>
      <c r="P44" s="29">
        <v>-122105</v>
      </c>
    </row>
    <row r="45" spans="3:16" s="11" customFormat="1" x14ac:dyDescent="0.35">
      <c r="C45" s="11" t="s">
        <v>30</v>
      </c>
      <c r="F45" s="38">
        <v>0</v>
      </c>
      <c r="G45" s="38">
        <v>102559</v>
      </c>
      <c r="H45" s="38">
        <v>105192</v>
      </c>
      <c r="I45" s="38">
        <v>78103</v>
      </c>
      <c r="J45" s="38">
        <v>80873</v>
      </c>
      <c r="K45" s="38">
        <v>83714</v>
      </c>
      <c r="L45" s="38">
        <v>86628</v>
      </c>
      <c r="M45" s="38">
        <v>89616</v>
      </c>
      <c r="N45" s="38">
        <v>92680</v>
      </c>
      <c r="O45" s="38">
        <v>95824</v>
      </c>
      <c r="P45" s="38">
        <v>99047</v>
      </c>
    </row>
    <row r="46" spans="3:16" s="11" customFormat="1" x14ac:dyDescent="0.35">
      <c r="C46" s="11" t="s">
        <v>37</v>
      </c>
      <c r="F46" s="38">
        <v>0</v>
      </c>
      <c r="G46" s="38">
        <v>-212849</v>
      </c>
      <c r="H46" s="38">
        <v>-364777</v>
      </c>
      <c r="I46" s="38">
        <v>-260512</v>
      </c>
      <c r="J46" s="38">
        <v>-186038</v>
      </c>
      <c r="K46" s="38">
        <v>-133012</v>
      </c>
      <c r="L46" s="38">
        <v>-132863</v>
      </c>
      <c r="M46" s="38">
        <v>-133012</v>
      </c>
      <c r="N46" s="38">
        <v>-66431</v>
      </c>
      <c r="O46" s="38">
        <v>0</v>
      </c>
      <c r="P46" s="38">
        <v>0</v>
      </c>
    </row>
    <row r="47" spans="3:16" s="11" customFormat="1" x14ac:dyDescent="0.35">
      <c r="C47" s="11" t="s">
        <v>31</v>
      </c>
      <c r="F47" s="38">
        <v>0</v>
      </c>
      <c r="G47" s="38">
        <v>-110290</v>
      </c>
      <c r="H47" s="38">
        <v>-259585</v>
      </c>
      <c r="I47" s="38">
        <v>-182409</v>
      </c>
      <c r="J47" s="38">
        <v>-105164</v>
      </c>
      <c r="K47" s="38">
        <v>-49298</v>
      </c>
      <c r="L47" s="38">
        <v>-46235</v>
      </c>
      <c r="M47" s="38">
        <v>-43396</v>
      </c>
      <c r="N47" s="38">
        <v>26249</v>
      </c>
      <c r="O47" s="38">
        <v>95824</v>
      </c>
      <c r="P47" s="38">
        <v>99047</v>
      </c>
    </row>
    <row r="48" spans="3:16" s="11" customFormat="1" x14ac:dyDescent="0.35">
      <c r="C48" s="11" t="s">
        <v>38</v>
      </c>
      <c r="F48" s="38">
        <v>0</v>
      </c>
      <c r="G48" s="38">
        <v>-23832</v>
      </c>
      <c r="H48" s="38">
        <v>-22187</v>
      </c>
      <c r="I48" s="38">
        <v>-20410</v>
      </c>
      <c r="J48" s="38">
        <v>-18491</v>
      </c>
      <c r="K48" s="38">
        <v>-16419</v>
      </c>
      <c r="L48" s="38">
        <v>-14181</v>
      </c>
      <c r="M48" s="38">
        <v>-11764</v>
      </c>
      <c r="N48" s="38">
        <v>-9153</v>
      </c>
      <c r="O48" s="38">
        <v>-6334</v>
      </c>
      <c r="P48" s="38">
        <v>-3289</v>
      </c>
    </row>
    <row r="49" spans="1:16" s="11" customFormat="1" x14ac:dyDescent="0.35">
      <c r="C49" s="11" t="s">
        <v>39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</row>
    <row r="50" spans="1:16" s="11" customFormat="1" ht="15" thickBot="1" x14ac:dyDescent="0.4">
      <c r="C50" s="12" t="s">
        <v>40</v>
      </c>
      <c r="D50" s="12"/>
      <c r="E50" s="12"/>
      <c r="F50" s="29">
        <v>0</v>
      </c>
      <c r="G50" s="29">
        <v>-134122</v>
      </c>
      <c r="H50" s="29">
        <v>-281771</v>
      </c>
      <c r="I50" s="29">
        <v>-202819</v>
      </c>
      <c r="J50" s="29">
        <v>-123656</v>
      </c>
      <c r="K50" s="29">
        <v>-65717</v>
      </c>
      <c r="L50" s="29">
        <v>-60416</v>
      </c>
      <c r="M50" s="29">
        <v>-55159</v>
      </c>
      <c r="N50" s="29">
        <v>17096</v>
      </c>
      <c r="O50" s="29">
        <v>89490</v>
      </c>
      <c r="P50" s="29">
        <v>95758</v>
      </c>
    </row>
    <row r="51" spans="1:16" s="11" customFormat="1" x14ac:dyDescent="0.35">
      <c r="C51" s="11" t="s">
        <v>41</v>
      </c>
      <c r="F51" s="38">
        <v>0</v>
      </c>
      <c r="G51" s="38">
        <v>212849</v>
      </c>
      <c r="H51" s="38">
        <v>364777</v>
      </c>
      <c r="I51" s="38">
        <v>260512</v>
      </c>
      <c r="J51" s="38">
        <v>186038</v>
      </c>
      <c r="K51" s="38">
        <v>133012</v>
      </c>
      <c r="L51" s="38">
        <v>132863</v>
      </c>
      <c r="M51" s="38">
        <v>133012</v>
      </c>
      <c r="N51" s="38">
        <v>66431</v>
      </c>
      <c r="O51" s="38">
        <v>0</v>
      </c>
      <c r="P51" s="38">
        <v>0</v>
      </c>
    </row>
    <row r="52" spans="1:16" s="14" customFormat="1" x14ac:dyDescent="0.35">
      <c r="C52" s="14" t="s">
        <v>42</v>
      </c>
      <c r="F52" s="38">
        <v>-1191594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</row>
    <row r="53" spans="1:16" s="11" customFormat="1" x14ac:dyDescent="0.35">
      <c r="C53" s="11" t="s">
        <v>32</v>
      </c>
      <c r="F53" s="38">
        <v>0</v>
      </c>
      <c r="G53" s="38">
        <v>-20564</v>
      </c>
      <c r="H53" s="38">
        <v>-22209</v>
      </c>
      <c r="I53" s="38">
        <v>-23986</v>
      </c>
      <c r="J53" s="38">
        <v>-25904</v>
      </c>
      <c r="K53" s="38">
        <v>-27977</v>
      </c>
      <c r="L53" s="38">
        <v>-30215</v>
      </c>
      <c r="M53" s="38">
        <v>-32632</v>
      </c>
      <c r="N53" s="38">
        <v>-35243</v>
      </c>
      <c r="O53" s="38">
        <v>-38062</v>
      </c>
      <c r="P53" s="38">
        <v>-41107</v>
      </c>
    </row>
    <row r="54" spans="1:16" s="14" customFormat="1" x14ac:dyDescent="0.35">
      <c r="C54" s="14" t="s">
        <v>43</v>
      </c>
      <c r="F54" s="38">
        <v>-1191594</v>
      </c>
      <c r="G54" s="38">
        <v>58163</v>
      </c>
      <c r="H54" s="38">
        <v>60797</v>
      </c>
      <c r="I54" s="38">
        <v>33708</v>
      </c>
      <c r="J54" s="38">
        <v>36478</v>
      </c>
      <c r="K54" s="38">
        <v>39318</v>
      </c>
      <c r="L54" s="38">
        <v>42232</v>
      </c>
      <c r="M54" s="38">
        <v>45220</v>
      </c>
      <c r="N54" s="38">
        <v>48285</v>
      </c>
      <c r="O54" s="38">
        <v>51428</v>
      </c>
      <c r="P54" s="38">
        <v>54651</v>
      </c>
    </row>
    <row r="57" spans="1:16" x14ac:dyDescent="0.35">
      <c r="G57" s="27">
        <v>2016</v>
      </c>
      <c r="H57" s="27">
        <v>2017</v>
      </c>
      <c r="I57" s="27">
        <v>2018</v>
      </c>
      <c r="J57" s="27">
        <v>2019</v>
      </c>
      <c r="K57" s="27">
        <v>2020</v>
      </c>
      <c r="L57" s="27">
        <v>2021</v>
      </c>
      <c r="M57" s="27">
        <v>2022</v>
      </c>
      <c r="N57" s="27">
        <v>2023</v>
      </c>
      <c r="O57" s="27">
        <v>2024</v>
      </c>
      <c r="P57" s="27">
        <v>2025</v>
      </c>
    </row>
    <row r="58" spans="1:16" s="34" customFormat="1" x14ac:dyDescent="0.35">
      <c r="A58" s="34" t="s">
        <v>119</v>
      </c>
      <c r="D58" s="34" t="s">
        <v>140</v>
      </c>
    </row>
    <row r="59" spans="1:16" x14ac:dyDescent="0.35">
      <c r="C59" s="9" t="s">
        <v>115</v>
      </c>
      <c r="D59" s="9" t="s">
        <v>47</v>
      </c>
      <c r="E59" s="37">
        <f ca="1">INDIRECT("Assumptions!"&amp;$D$58&amp;"10")*1000</f>
        <v>1000</v>
      </c>
      <c r="F59" s="14"/>
      <c r="G59" s="16">
        <f ca="1">E59</f>
        <v>1000</v>
      </c>
      <c r="H59" s="16">
        <f ca="1">G59</f>
        <v>1000</v>
      </c>
      <c r="I59" s="16">
        <f ca="1">H59</f>
        <v>1000</v>
      </c>
      <c r="J59" s="16">
        <f ca="1">I59</f>
        <v>1000</v>
      </c>
      <c r="K59" s="16">
        <f ca="1">J59</f>
        <v>1000</v>
      </c>
      <c r="L59" s="16">
        <f ca="1">K59</f>
        <v>1000</v>
      </c>
      <c r="M59" s="16">
        <f ca="1">L59</f>
        <v>1000</v>
      </c>
      <c r="N59" s="16">
        <f ca="1">M59</f>
        <v>1000</v>
      </c>
      <c r="O59" s="16">
        <f ca="1">N59</f>
        <v>1000</v>
      </c>
      <c r="P59" s="16">
        <f ca="1">O59</f>
        <v>1000</v>
      </c>
    </row>
    <row r="60" spans="1:16" x14ac:dyDescent="0.35">
      <c r="C60" s="9" t="s">
        <v>48</v>
      </c>
      <c r="D60" s="9" t="s">
        <v>49</v>
      </c>
      <c r="E60" s="9">
        <f ca="1">E61/E59</f>
        <v>2</v>
      </c>
      <c r="G60" s="17">
        <f ca="1">E60</f>
        <v>2</v>
      </c>
      <c r="H60" s="17">
        <f ca="1">G60</f>
        <v>2</v>
      </c>
      <c r="I60" s="17">
        <f ca="1">H60</f>
        <v>2</v>
      </c>
      <c r="J60" s="17">
        <f ca="1">I60</f>
        <v>2</v>
      </c>
      <c r="K60" s="17">
        <f ca="1">J60</f>
        <v>2</v>
      </c>
      <c r="L60" s="17">
        <f ca="1">K60</f>
        <v>2</v>
      </c>
      <c r="M60" s="17">
        <f ca="1">L60</f>
        <v>2</v>
      </c>
      <c r="N60" s="17">
        <f ca="1">M60</f>
        <v>2</v>
      </c>
      <c r="O60" s="17">
        <f ca="1">N60</f>
        <v>2</v>
      </c>
      <c r="P60" s="17">
        <f ca="1">O60</f>
        <v>2</v>
      </c>
    </row>
    <row r="61" spans="1:16" x14ac:dyDescent="0.35">
      <c r="C61" s="9" t="s">
        <v>104</v>
      </c>
      <c r="D61" s="9" t="s">
        <v>50</v>
      </c>
      <c r="E61" s="37">
        <f ca="1">INDIRECT("Assumptions!"&amp;$D$58&amp;"11")*1000</f>
        <v>2000</v>
      </c>
      <c r="F61" s="16"/>
      <c r="G61" s="16">
        <f ca="1">G59*G60</f>
        <v>2000</v>
      </c>
      <c r="H61" s="16">
        <f ca="1">H59*H60</f>
        <v>2000</v>
      </c>
      <c r="I61" s="16">
        <f ca="1">I59*I60</f>
        <v>2000</v>
      </c>
      <c r="J61" s="16">
        <f ca="1">J59*J60</f>
        <v>2000</v>
      </c>
      <c r="K61" s="16">
        <f ca="1">K59*K60</f>
        <v>2000</v>
      </c>
      <c r="L61" s="16">
        <f ca="1">L59*L60</f>
        <v>2000</v>
      </c>
      <c r="M61" s="16">
        <f ca="1">M59*M60</f>
        <v>2000</v>
      </c>
      <c r="N61" s="16">
        <f ca="1">N59*N60</f>
        <v>2000</v>
      </c>
      <c r="O61" s="16">
        <f ca="1">O59*O60</f>
        <v>2000</v>
      </c>
      <c r="P61" s="16">
        <f ca="1">P59*P60</f>
        <v>2000</v>
      </c>
    </row>
    <row r="62" spans="1:16" x14ac:dyDescent="0.35">
      <c r="C62" s="9" t="s">
        <v>52</v>
      </c>
      <c r="D62" s="9" t="s">
        <v>53</v>
      </c>
      <c r="E62" s="37">
        <f ca="1">INDIRECT("Assumptions!"&amp;$D$58&amp;"12")</f>
        <v>215</v>
      </c>
      <c r="F62" s="16"/>
      <c r="G62" s="16">
        <f ca="1">$E$62</f>
        <v>215</v>
      </c>
      <c r="H62" s="16">
        <f ca="1">$E$62</f>
        <v>215</v>
      </c>
      <c r="I62" s="16">
        <f ca="1">$E$62</f>
        <v>215</v>
      </c>
      <c r="J62" s="16">
        <f ca="1">$E$62</f>
        <v>215</v>
      </c>
      <c r="K62" s="16">
        <f ca="1">$E$62</f>
        <v>215</v>
      </c>
      <c r="L62" s="16">
        <f ca="1">$E$62</f>
        <v>215</v>
      </c>
      <c r="M62" s="16">
        <f ca="1">$E$62</f>
        <v>215</v>
      </c>
      <c r="N62" s="16">
        <f ca="1">$E$62</f>
        <v>215</v>
      </c>
      <c r="O62" s="16">
        <f ca="1">$E$62</f>
        <v>215</v>
      </c>
      <c r="P62" s="16">
        <f ca="1">$E$62</f>
        <v>215</v>
      </c>
    </row>
    <row r="63" spans="1:16" x14ac:dyDescent="0.35">
      <c r="C63" s="9" t="s">
        <v>106</v>
      </c>
      <c r="D63" s="9" t="s">
        <v>54</v>
      </c>
      <c r="G63" s="16">
        <f ca="1">G62*G61/1000</f>
        <v>430</v>
      </c>
      <c r="H63" s="16">
        <f ca="1">H62*H61/1000</f>
        <v>430</v>
      </c>
      <c r="I63" s="16">
        <f ca="1">I62*I61/1000</f>
        <v>430</v>
      </c>
      <c r="J63" s="16">
        <f ca="1">J62*J61/1000</f>
        <v>430</v>
      </c>
      <c r="K63" s="16">
        <f ca="1">K62*K61/1000</f>
        <v>430</v>
      </c>
      <c r="L63" s="16">
        <f ca="1">L62*L61/1000</f>
        <v>430</v>
      </c>
      <c r="M63" s="16">
        <f ca="1">M62*M61/1000</f>
        <v>430</v>
      </c>
      <c r="N63" s="16">
        <f ca="1">N62*N61/1000</f>
        <v>430</v>
      </c>
      <c r="O63" s="16">
        <f ca="1">O62*O61/1000</f>
        <v>430</v>
      </c>
      <c r="P63" s="16">
        <f ca="1">P62*P61/1000</f>
        <v>430</v>
      </c>
    </row>
    <row r="64" spans="1:16" x14ac:dyDescent="0.35">
      <c r="C64" s="9" t="s">
        <v>55</v>
      </c>
      <c r="D64" s="9" t="s">
        <v>56</v>
      </c>
      <c r="E64" s="32">
        <f ca="1">INDIRECT("Assumptions!"&amp;$D$58&amp;"13")</f>
        <v>1</v>
      </c>
      <c r="F64" s="19"/>
      <c r="G64" s="19">
        <f ca="1">$E$64</f>
        <v>1</v>
      </c>
      <c r="H64" s="19">
        <f ca="1">$E$64</f>
        <v>1</v>
      </c>
      <c r="I64" s="19">
        <f ca="1">$E$64</f>
        <v>1</v>
      </c>
      <c r="J64" s="19">
        <f ca="1">$E$64</f>
        <v>1</v>
      </c>
      <c r="K64" s="19">
        <f ca="1">$E$64</f>
        <v>1</v>
      </c>
      <c r="L64" s="19">
        <f ca="1">$E$64</f>
        <v>1</v>
      </c>
      <c r="M64" s="19">
        <f ca="1">$E$64</f>
        <v>1</v>
      </c>
      <c r="N64" s="19">
        <f ca="1">$E$64</f>
        <v>1</v>
      </c>
      <c r="O64" s="19">
        <f ca="1">$E$64</f>
        <v>1</v>
      </c>
      <c r="P64" s="19">
        <f ca="1">$E$64</f>
        <v>1</v>
      </c>
    </row>
    <row r="65" spans="1:16" x14ac:dyDescent="0.35">
      <c r="C65" s="9" t="s">
        <v>51</v>
      </c>
      <c r="D65" s="9" t="s">
        <v>56</v>
      </c>
      <c r="E65" s="32">
        <f ca="1">INDIRECT("Assumptions!"&amp;$D$58&amp;"14")</f>
        <v>0.92</v>
      </c>
      <c r="F65" s="19"/>
      <c r="G65" s="19">
        <f ca="1">$E$65</f>
        <v>0.92</v>
      </c>
      <c r="H65" s="19">
        <f ca="1">$E$65</f>
        <v>0.92</v>
      </c>
      <c r="I65" s="19">
        <f ca="1">$E$65</f>
        <v>0.92</v>
      </c>
      <c r="J65" s="19">
        <f ca="1">$E$65</f>
        <v>0.92</v>
      </c>
      <c r="K65" s="19">
        <f ca="1">$E$65</f>
        <v>0.92</v>
      </c>
      <c r="L65" s="19">
        <f ca="1">$E$65</f>
        <v>0.92</v>
      </c>
      <c r="M65" s="19">
        <f ca="1">$E$65</f>
        <v>0.92</v>
      </c>
      <c r="N65" s="19">
        <f ca="1">$E$65</f>
        <v>0.92</v>
      </c>
      <c r="O65" s="19">
        <f ca="1">$E$65</f>
        <v>0.92</v>
      </c>
      <c r="P65" s="19">
        <f ca="1">$E$65</f>
        <v>0.92</v>
      </c>
    </row>
    <row r="66" spans="1:16" x14ac:dyDescent="0.35">
      <c r="C66" s="9" t="s">
        <v>57</v>
      </c>
      <c r="D66" s="9" t="s">
        <v>54</v>
      </c>
      <c r="G66" s="16">
        <f ca="1">G63*G64</f>
        <v>430</v>
      </c>
      <c r="H66" s="16">
        <f ca="1">H63*H64</f>
        <v>430</v>
      </c>
      <c r="I66" s="16">
        <f ca="1">I63*I64</f>
        <v>430</v>
      </c>
      <c r="J66" s="16">
        <f ca="1">J63*J64</f>
        <v>430</v>
      </c>
      <c r="K66" s="16">
        <f ca="1">K63*K64</f>
        <v>430</v>
      </c>
      <c r="L66" s="16">
        <f ca="1">L63*L64</f>
        <v>430</v>
      </c>
      <c r="M66" s="16">
        <f ca="1">M63*M64</f>
        <v>430</v>
      </c>
      <c r="N66" s="16">
        <f ca="1">N63*N64</f>
        <v>430</v>
      </c>
      <c r="O66" s="16">
        <f ca="1">O63*O64</f>
        <v>430</v>
      </c>
      <c r="P66" s="16">
        <f ca="1">P63*P64</f>
        <v>430</v>
      </c>
    </row>
    <row r="67" spans="1:16" x14ac:dyDescent="0.35">
      <c r="C67" s="9" t="s">
        <v>145</v>
      </c>
      <c r="D67" s="9" t="s">
        <v>56</v>
      </c>
      <c r="G67" s="39">
        <f ca="1">G62/8760</f>
        <v>2.4543378995433789E-2</v>
      </c>
      <c r="H67" s="39">
        <f t="shared" ref="H67:P67" ca="1" si="0">H62/8760</f>
        <v>2.4543378995433789E-2</v>
      </c>
      <c r="I67" s="39">
        <f t="shared" ca="1" si="0"/>
        <v>2.4543378995433789E-2</v>
      </c>
      <c r="J67" s="39">
        <f t="shared" ca="1" si="0"/>
        <v>2.4543378995433789E-2</v>
      </c>
      <c r="K67" s="39">
        <f t="shared" ca="1" si="0"/>
        <v>2.4543378995433789E-2</v>
      </c>
      <c r="L67" s="39">
        <f t="shared" ca="1" si="0"/>
        <v>2.4543378995433789E-2</v>
      </c>
      <c r="M67" s="39">
        <f t="shared" ca="1" si="0"/>
        <v>2.4543378995433789E-2</v>
      </c>
      <c r="N67" s="39">
        <f t="shared" ca="1" si="0"/>
        <v>2.4543378995433789E-2</v>
      </c>
      <c r="O67" s="39">
        <f t="shared" ca="1" si="0"/>
        <v>2.4543378995433789E-2</v>
      </c>
      <c r="P67" s="39">
        <f t="shared" ca="1" si="0"/>
        <v>2.4543378995433789E-2</v>
      </c>
    </row>
    <row r="69" spans="1:16" s="34" customFormat="1" x14ac:dyDescent="0.35">
      <c r="A69" s="34" t="s">
        <v>120</v>
      </c>
    </row>
    <row r="70" spans="1:16" x14ac:dyDescent="0.35">
      <c r="B70" s="9" t="s">
        <v>117</v>
      </c>
    </row>
    <row r="71" spans="1:16" x14ac:dyDescent="0.35">
      <c r="C71" s="9" t="s">
        <v>59</v>
      </c>
      <c r="D71" s="9" t="s">
        <v>62</v>
      </c>
      <c r="E71" s="31">
        <v>527</v>
      </c>
    </row>
    <row r="72" spans="1:16" x14ac:dyDescent="0.35">
      <c r="C72" s="9" t="s">
        <v>60</v>
      </c>
      <c r="D72" s="9" t="s">
        <v>62</v>
      </c>
      <c r="E72" s="31">
        <v>102</v>
      </c>
    </row>
    <row r="73" spans="1:16" ht="15" thickBot="1" x14ac:dyDescent="0.4">
      <c r="C73" s="21" t="s">
        <v>61</v>
      </c>
      <c r="D73" s="21" t="s">
        <v>62</v>
      </c>
      <c r="E73" s="22">
        <f>SUM(E71:E72)</f>
        <v>629</v>
      </c>
      <c r="F73" s="8"/>
    </row>
    <row r="75" spans="1:16" x14ac:dyDescent="0.35">
      <c r="C75" s="9" t="s">
        <v>69</v>
      </c>
      <c r="D75" s="9" t="s">
        <v>66</v>
      </c>
      <c r="E75" s="33">
        <f ca="1">INDIRECT("Assumptions!"&amp;$D$58&amp;"21")</f>
        <v>1</v>
      </c>
      <c r="F75" s="20"/>
    </row>
    <row r="76" spans="1:16" x14ac:dyDescent="0.35">
      <c r="C76" s="9" t="s">
        <v>71</v>
      </c>
      <c r="D76" s="9" t="s">
        <v>66</v>
      </c>
      <c r="E76" s="33">
        <f ca="1">INDIRECT("Assumptions!"&amp;$D$58&amp;"22")</f>
        <v>1.1399999999999999</v>
      </c>
      <c r="F76" s="20"/>
    </row>
    <row r="78" spans="1:16" x14ac:dyDescent="0.35">
      <c r="C78" s="9" t="s">
        <v>59</v>
      </c>
      <c r="D78" s="9" t="s">
        <v>62</v>
      </c>
      <c r="E78" s="20">
        <f ca="1">E71*E75</f>
        <v>527</v>
      </c>
    </row>
    <row r="79" spans="1:16" x14ac:dyDescent="0.35">
      <c r="C79" s="9" t="s">
        <v>60</v>
      </c>
      <c r="D79" s="9" t="s">
        <v>62</v>
      </c>
      <c r="E79" s="20">
        <f ca="1">E72*E76</f>
        <v>116.27999999999999</v>
      </c>
    </row>
    <row r="80" spans="1:16" ht="15" thickBot="1" x14ac:dyDescent="0.4">
      <c r="C80" s="21" t="s">
        <v>61</v>
      </c>
      <c r="D80" s="21" t="s">
        <v>62</v>
      </c>
      <c r="E80" s="22">
        <f ca="1">SUM(E78:E79)</f>
        <v>643.28</v>
      </c>
    </row>
    <row r="82" spans="2:6" x14ac:dyDescent="0.35">
      <c r="C82" s="9" t="s">
        <v>118</v>
      </c>
      <c r="D82" s="9" t="s">
        <v>50</v>
      </c>
      <c r="E82" s="23">
        <f ca="1">E61</f>
        <v>2000</v>
      </c>
      <c r="F82" s="23"/>
    </row>
    <row r="83" spans="2:6" x14ac:dyDescent="0.35">
      <c r="C83" s="9" t="s">
        <v>63</v>
      </c>
      <c r="D83" s="9" t="s">
        <v>65</v>
      </c>
      <c r="E83" s="23">
        <f ca="1">E82*E80</f>
        <v>1286560</v>
      </c>
      <c r="F83" s="23"/>
    </row>
    <row r="85" spans="2:6" x14ac:dyDescent="0.35">
      <c r="C85" s="9" t="s">
        <v>67</v>
      </c>
      <c r="D85" s="9" t="s">
        <v>68</v>
      </c>
      <c r="E85" s="32">
        <f ca="1">INDIRECT("Assumptions!"&amp;$D$58&amp;"17")</f>
        <v>0.18</v>
      </c>
      <c r="F85" s="19"/>
    </row>
    <row r="86" spans="2:6" x14ac:dyDescent="0.35">
      <c r="C86" s="9" t="s">
        <v>64</v>
      </c>
      <c r="D86" s="9" t="s">
        <v>66</v>
      </c>
      <c r="E86" s="33">
        <f ca="1">INDIRECT("Assumptions!"&amp;$D$58&amp;"23")</f>
        <v>1.23</v>
      </c>
    </row>
    <row r="87" spans="2:6" x14ac:dyDescent="0.35">
      <c r="C87" s="9" t="s">
        <v>70</v>
      </c>
      <c r="D87" s="9" t="s">
        <v>65</v>
      </c>
      <c r="E87" s="16">
        <f ca="1">E83*E85*E86</f>
        <v>284844.38399999996</v>
      </c>
      <c r="F87" s="23"/>
    </row>
    <row r="89" spans="2:6" ht="15" thickBot="1" x14ac:dyDescent="0.4">
      <c r="C89" s="21" t="s">
        <v>72</v>
      </c>
      <c r="D89" s="21" t="s">
        <v>65</v>
      </c>
      <c r="E89" s="24">
        <f ca="1">E87+E83</f>
        <v>1571404.3840000001</v>
      </c>
      <c r="F89" s="25"/>
    </row>
    <row r="90" spans="2:6" x14ac:dyDescent="0.35">
      <c r="C90" s="8"/>
      <c r="D90" s="8"/>
      <c r="E90" s="25"/>
      <c r="F90" s="25"/>
    </row>
    <row r="91" spans="2:6" x14ac:dyDescent="0.35">
      <c r="C91" s="9" t="s">
        <v>115</v>
      </c>
      <c r="D91" s="8" t="s">
        <v>47</v>
      </c>
      <c r="E91" s="14">
        <f ca="1">E59</f>
        <v>1000</v>
      </c>
      <c r="F91" s="25"/>
    </row>
    <row r="92" spans="2:6" x14ac:dyDescent="0.35">
      <c r="C92" s="8" t="s">
        <v>98</v>
      </c>
      <c r="D92" s="8" t="s">
        <v>99</v>
      </c>
      <c r="E92" s="20">
        <f ca="1">E89/E91</f>
        <v>1571.4043840000002</v>
      </c>
      <c r="F92" s="25"/>
    </row>
    <row r="93" spans="2:6" x14ac:dyDescent="0.35">
      <c r="F93" s="25"/>
    </row>
    <row r="94" spans="2:6" x14ac:dyDescent="0.35">
      <c r="B94" s="9" t="s">
        <v>116</v>
      </c>
    </row>
    <row r="95" spans="2:6" x14ac:dyDescent="0.35">
      <c r="C95" s="8" t="s">
        <v>90</v>
      </c>
      <c r="D95" s="8" t="s">
        <v>65</v>
      </c>
      <c r="E95" s="25">
        <f>-F54</f>
        <v>1191594</v>
      </c>
    </row>
    <row r="96" spans="2:6" x14ac:dyDescent="0.35">
      <c r="C96" s="8"/>
      <c r="D96" s="8"/>
      <c r="E96" s="25"/>
    </row>
    <row r="97" spans="1:6" x14ac:dyDescent="0.35">
      <c r="C97" s="8" t="s">
        <v>93</v>
      </c>
      <c r="D97" s="8" t="s">
        <v>65</v>
      </c>
      <c r="E97" s="25">
        <f>-I42</f>
        <v>29790</v>
      </c>
    </row>
    <row r="98" spans="1:6" x14ac:dyDescent="0.35">
      <c r="C98" s="8" t="s">
        <v>94</v>
      </c>
      <c r="D98" s="8" t="s">
        <v>56</v>
      </c>
      <c r="E98" s="32">
        <f ca="1">INDIRECT("Assumptions!"&amp;$D$58&amp;"16")</f>
        <v>0.02</v>
      </c>
    </row>
    <row r="99" spans="1:6" x14ac:dyDescent="0.35">
      <c r="C99" s="8" t="s">
        <v>102</v>
      </c>
      <c r="D99" s="8" t="s">
        <v>65</v>
      </c>
      <c r="E99" s="25">
        <f ca="1">E97/E98</f>
        <v>1489500</v>
      </c>
    </row>
    <row r="100" spans="1:6" x14ac:dyDescent="0.35">
      <c r="C100" s="8" t="s">
        <v>103</v>
      </c>
      <c r="D100" s="8" t="s">
        <v>65</v>
      </c>
      <c r="E100" s="25">
        <f ca="1">E89</f>
        <v>1571404.3840000001</v>
      </c>
    </row>
    <row r="101" spans="1:6" x14ac:dyDescent="0.35">
      <c r="C101" s="8"/>
      <c r="D101" s="8"/>
      <c r="E101" s="25"/>
    </row>
    <row r="102" spans="1:6" x14ac:dyDescent="0.35">
      <c r="C102" s="8" t="s">
        <v>100</v>
      </c>
      <c r="D102" s="8" t="s">
        <v>65</v>
      </c>
      <c r="E102" s="25">
        <f ca="1">E99-E95</f>
        <v>297906</v>
      </c>
    </row>
    <row r="103" spans="1:6" x14ac:dyDescent="0.35">
      <c r="C103" s="45" t="s">
        <v>101</v>
      </c>
      <c r="D103" s="46" t="s">
        <v>56</v>
      </c>
      <c r="E103" s="47">
        <f ca="1">E102/E99</f>
        <v>0.20000402819738167</v>
      </c>
    </row>
    <row r="104" spans="1:6" x14ac:dyDescent="0.35">
      <c r="F104" s="25"/>
    </row>
    <row r="105" spans="1:6" s="34" customFormat="1" x14ac:dyDescent="0.35">
      <c r="A105" s="34" t="s">
        <v>121</v>
      </c>
      <c r="F105" s="36"/>
    </row>
    <row r="106" spans="1:6" x14ac:dyDescent="0.35">
      <c r="B106" s="9" t="s">
        <v>73</v>
      </c>
    </row>
    <row r="107" spans="1:6" x14ac:dyDescent="0.35">
      <c r="C107" s="9" t="s">
        <v>74</v>
      </c>
      <c r="D107" s="9" t="s">
        <v>56</v>
      </c>
      <c r="E107" s="32">
        <f>Assumptions!E3</f>
        <v>2.5000000000000001E-2</v>
      </c>
      <c r="F107" s="18"/>
    </row>
    <row r="108" spans="1:6" x14ac:dyDescent="0.35">
      <c r="C108" s="9" t="s">
        <v>75</v>
      </c>
      <c r="D108" s="9" t="s">
        <v>76</v>
      </c>
      <c r="E108" s="31">
        <v>115</v>
      </c>
      <c r="F108" s="20"/>
    </row>
    <row r="109" spans="1:6" x14ac:dyDescent="0.35">
      <c r="C109" s="9" t="s">
        <v>77</v>
      </c>
      <c r="D109" s="9" t="s">
        <v>78</v>
      </c>
      <c r="E109" s="31">
        <v>23.8</v>
      </c>
      <c r="F109" s="20"/>
    </row>
    <row r="111" spans="1:6" x14ac:dyDescent="0.35">
      <c r="B111" s="9" t="s">
        <v>79</v>
      </c>
    </row>
    <row r="112" spans="1:6" x14ac:dyDescent="0.35">
      <c r="C112" s="9" t="s">
        <v>80</v>
      </c>
      <c r="D112" s="9" t="s">
        <v>56</v>
      </c>
      <c r="E112" s="32">
        <f>Assumptions!E4</f>
        <v>2.2499999999999999E-2</v>
      </c>
      <c r="F112" s="18"/>
    </row>
    <row r="113" spans="1:16" x14ac:dyDescent="0.35">
      <c r="C113" s="9" t="s">
        <v>81</v>
      </c>
      <c r="D113" s="9" t="s">
        <v>56</v>
      </c>
      <c r="E113" s="32">
        <f>Assumptions!E5</f>
        <v>2.5000000000000001E-2</v>
      </c>
      <c r="F113" s="18"/>
    </row>
    <row r="114" spans="1:16" x14ac:dyDescent="0.35">
      <c r="C114" s="9" t="s">
        <v>82</v>
      </c>
      <c r="D114" s="9" t="s">
        <v>78</v>
      </c>
      <c r="E114" s="31">
        <v>106</v>
      </c>
      <c r="F114" s="20"/>
    </row>
    <row r="115" spans="1:16" x14ac:dyDescent="0.35">
      <c r="C115" s="9" t="s">
        <v>83</v>
      </c>
      <c r="D115" s="9" t="s">
        <v>56</v>
      </c>
      <c r="E115" s="32">
        <f ca="1">INDIRECT("Assumptions!"&amp;$D$58&amp;"18")</f>
        <v>1.6E-2</v>
      </c>
      <c r="F115" s="18"/>
    </row>
    <row r="116" spans="1:16" x14ac:dyDescent="0.35">
      <c r="C116" s="9" t="s">
        <v>84</v>
      </c>
      <c r="D116" s="9" t="s">
        <v>56</v>
      </c>
      <c r="E116" s="18">
        <f ca="1">E98</f>
        <v>0.02</v>
      </c>
      <c r="F116" s="18"/>
    </row>
    <row r="118" spans="1:16" x14ac:dyDescent="0.35">
      <c r="B118" s="9" t="s">
        <v>85</v>
      </c>
    </row>
    <row r="119" spans="1:16" x14ac:dyDescent="0.35">
      <c r="C119" s="9" t="s">
        <v>74</v>
      </c>
      <c r="G119" s="33">
        <f>Assumptions!G29</f>
        <v>1</v>
      </c>
      <c r="H119" s="33">
        <f>Assumptions!H29</f>
        <v>1.0249999999999999</v>
      </c>
      <c r="I119" s="33">
        <f>Assumptions!I29</f>
        <v>1.0506249999999999</v>
      </c>
      <c r="J119" s="33">
        <f>Assumptions!J29</f>
        <v>1.0768906249999999</v>
      </c>
      <c r="K119" s="33">
        <f>Assumptions!K29</f>
        <v>1.1038128906249998</v>
      </c>
      <c r="L119" s="33">
        <f>Assumptions!L29</f>
        <v>1.1314082128906247</v>
      </c>
      <c r="M119" s="33">
        <f>Assumptions!M29</f>
        <v>1.1596934182128902</v>
      </c>
      <c r="N119" s="33">
        <f>Assumptions!N29</f>
        <v>1.1886857536682123</v>
      </c>
      <c r="O119" s="33">
        <f>Assumptions!O29</f>
        <v>1.2184028975099175</v>
      </c>
      <c r="P119" s="33">
        <f>Assumptions!P29</f>
        <v>1.2488629699476652</v>
      </c>
    </row>
    <row r="120" spans="1:16" x14ac:dyDescent="0.35">
      <c r="C120" s="9" t="s">
        <v>79</v>
      </c>
      <c r="G120" s="33">
        <f>Assumptions!G30</f>
        <v>1</v>
      </c>
      <c r="H120" s="33">
        <f>Assumptions!H30</f>
        <v>1.0225</v>
      </c>
      <c r="I120" s="33">
        <f>Assumptions!I30</f>
        <v>1.0455062499999999</v>
      </c>
      <c r="J120" s="33">
        <f>Assumptions!J30</f>
        <v>1.0690301406249998</v>
      </c>
      <c r="K120" s="33">
        <f>Assumptions!K30</f>
        <v>1.0930833187890623</v>
      </c>
      <c r="L120" s="33">
        <f>Assumptions!L30</f>
        <v>1.1176776934618162</v>
      </c>
      <c r="M120" s="33">
        <f>Assumptions!M30</f>
        <v>1.142825441564707</v>
      </c>
      <c r="N120" s="33">
        <f>Assumptions!N30</f>
        <v>1.1685390139999128</v>
      </c>
      <c r="O120" s="33">
        <f>Assumptions!O30</f>
        <v>1.1948311418149107</v>
      </c>
      <c r="P120" s="33">
        <f>Assumptions!P30</f>
        <v>1.221714842505746</v>
      </c>
    </row>
    <row r="121" spans="1:16" x14ac:dyDescent="0.35">
      <c r="C121" s="9" t="s">
        <v>82</v>
      </c>
      <c r="G121" s="33">
        <f>Assumptions!G31</f>
        <v>1</v>
      </c>
      <c r="H121" s="33">
        <f>Assumptions!H31</f>
        <v>1.0249999999999999</v>
      </c>
      <c r="I121" s="33">
        <f>Assumptions!I31</f>
        <v>1.0506249999999999</v>
      </c>
      <c r="J121" s="33">
        <f>Assumptions!J31</f>
        <v>1.0768906249999999</v>
      </c>
      <c r="K121" s="33">
        <f>Assumptions!K31</f>
        <v>1.1038128906249998</v>
      </c>
      <c r="L121" s="33">
        <f>Assumptions!L31</f>
        <v>1.1314082128906247</v>
      </c>
      <c r="M121" s="33">
        <f>Assumptions!M31</f>
        <v>1.1596934182128902</v>
      </c>
      <c r="N121" s="33">
        <f>Assumptions!N31</f>
        <v>1.1886857536682123</v>
      </c>
      <c r="O121" s="33">
        <f>Assumptions!O31</f>
        <v>1.2184028975099175</v>
      </c>
      <c r="P121" s="33">
        <f>Assumptions!P31</f>
        <v>1.2488629699476652</v>
      </c>
    </row>
    <row r="123" spans="1:16" x14ac:dyDescent="0.35">
      <c r="C123" s="9" t="s">
        <v>86</v>
      </c>
      <c r="D123" s="9" t="s">
        <v>87</v>
      </c>
      <c r="E123" s="20">
        <f>E108</f>
        <v>115</v>
      </c>
      <c r="F123" s="20"/>
      <c r="G123" s="20">
        <f>$E123*G119</f>
        <v>115</v>
      </c>
      <c r="H123" s="20">
        <f t="shared" ref="H123:P123" si="1">$E123*H119</f>
        <v>117.87499999999999</v>
      </c>
      <c r="I123" s="20">
        <f t="shared" si="1"/>
        <v>120.82187499999999</v>
      </c>
      <c r="J123" s="20">
        <f t="shared" si="1"/>
        <v>123.84242187499999</v>
      </c>
      <c r="K123" s="20">
        <f t="shared" si="1"/>
        <v>126.93848242187498</v>
      </c>
      <c r="L123" s="20">
        <f t="shared" si="1"/>
        <v>130.11194448242185</v>
      </c>
      <c r="M123" s="20">
        <f t="shared" si="1"/>
        <v>133.36474309448238</v>
      </c>
      <c r="N123" s="20">
        <f t="shared" si="1"/>
        <v>136.69886167184441</v>
      </c>
      <c r="O123" s="20">
        <f t="shared" si="1"/>
        <v>140.1163332136405</v>
      </c>
      <c r="P123" s="20">
        <f t="shared" si="1"/>
        <v>143.6192415439815</v>
      </c>
    </row>
    <row r="124" spans="1:16" x14ac:dyDescent="0.35">
      <c r="C124" s="9" t="s">
        <v>126</v>
      </c>
      <c r="D124" s="9" t="s">
        <v>88</v>
      </c>
      <c r="E124" s="20">
        <f>E109</f>
        <v>23.8</v>
      </c>
      <c r="F124" s="20"/>
      <c r="G124" s="20">
        <f>$E124*G119</f>
        <v>23.8</v>
      </c>
      <c r="H124" s="20">
        <f t="shared" ref="H124:P124" si="2">$E124*H119</f>
        <v>24.395</v>
      </c>
      <c r="I124" s="20">
        <f t="shared" si="2"/>
        <v>25.004874999999998</v>
      </c>
      <c r="J124" s="20">
        <f t="shared" si="2"/>
        <v>25.629996874999996</v>
      </c>
      <c r="K124" s="20">
        <f t="shared" si="2"/>
        <v>26.270746796874995</v>
      </c>
      <c r="L124" s="20">
        <f t="shared" si="2"/>
        <v>26.927515466796869</v>
      </c>
      <c r="M124" s="20">
        <f t="shared" si="2"/>
        <v>27.600703353466788</v>
      </c>
      <c r="N124" s="20">
        <f t="shared" si="2"/>
        <v>28.290720937303455</v>
      </c>
      <c r="O124" s="20">
        <f t="shared" si="2"/>
        <v>28.997988960736038</v>
      </c>
      <c r="P124" s="20">
        <f t="shared" si="2"/>
        <v>29.722938684754432</v>
      </c>
    </row>
    <row r="126" spans="1:16" s="34" customFormat="1" x14ac:dyDescent="0.35">
      <c r="A126" s="34" t="s">
        <v>123</v>
      </c>
      <c r="C126" s="35"/>
      <c r="D126" s="35"/>
      <c r="E126" s="36"/>
    </row>
    <row r="127" spans="1:16" x14ac:dyDescent="0.35">
      <c r="C127" s="8" t="s">
        <v>80</v>
      </c>
      <c r="D127" s="8" t="s">
        <v>56</v>
      </c>
      <c r="E127" s="26">
        <f ca="1">E115</f>
        <v>1.6E-2</v>
      </c>
      <c r="G127" s="18">
        <f ca="1">$E127</f>
        <v>1.6E-2</v>
      </c>
      <c r="H127" s="18">
        <f t="shared" ref="H127:P127" ca="1" si="3">$E127</f>
        <v>1.6E-2</v>
      </c>
      <c r="I127" s="18">
        <f t="shared" ca="1" si="3"/>
        <v>1.6E-2</v>
      </c>
      <c r="J127" s="18">
        <f t="shared" ca="1" si="3"/>
        <v>1.6E-2</v>
      </c>
      <c r="K127" s="18">
        <f t="shared" ca="1" si="3"/>
        <v>1.6E-2</v>
      </c>
      <c r="L127" s="18">
        <f t="shared" ca="1" si="3"/>
        <v>1.6E-2</v>
      </c>
      <c r="M127" s="18">
        <f t="shared" ca="1" si="3"/>
        <v>1.6E-2</v>
      </c>
      <c r="N127" s="18">
        <f t="shared" ca="1" si="3"/>
        <v>1.6E-2</v>
      </c>
      <c r="O127" s="18">
        <f t="shared" ca="1" si="3"/>
        <v>1.6E-2</v>
      </c>
      <c r="P127" s="18">
        <f t="shared" ca="1" si="3"/>
        <v>1.6E-2</v>
      </c>
    </row>
    <row r="128" spans="1:16" x14ac:dyDescent="0.35">
      <c r="C128" s="8" t="s">
        <v>96</v>
      </c>
      <c r="D128" s="8" t="s">
        <v>65</v>
      </c>
      <c r="E128" s="25"/>
      <c r="G128" s="20">
        <f>-G41</f>
        <v>23706</v>
      </c>
      <c r="H128" s="20">
        <f>-H41</f>
        <v>24240</v>
      </c>
      <c r="I128" s="20">
        <f>-I41</f>
        <v>24785</v>
      </c>
      <c r="J128" s="20">
        <f>-J41</f>
        <v>25343</v>
      </c>
      <c r="K128" s="20">
        <f>-K41</f>
        <v>25913</v>
      </c>
      <c r="L128" s="20">
        <f>-L41</f>
        <v>26496</v>
      </c>
      <c r="M128" s="20">
        <f>-M41</f>
        <v>27092</v>
      </c>
      <c r="N128" s="20">
        <f>-N41</f>
        <v>27702</v>
      </c>
      <c r="O128" s="20">
        <f>-O41</f>
        <v>28325</v>
      </c>
      <c r="P128" s="20">
        <f>-P41</f>
        <v>28962</v>
      </c>
    </row>
    <row r="129" spans="1:16" x14ac:dyDescent="0.35">
      <c r="C129" s="8" t="s">
        <v>95</v>
      </c>
      <c r="D129" s="8" t="s">
        <v>65</v>
      </c>
      <c r="E129" s="25">
        <f ca="1">E99</f>
        <v>1489500</v>
      </c>
      <c r="G129" s="20">
        <f ca="1">$E129*G127</f>
        <v>23832</v>
      </c>
      <c r="H129" s="20">
        <f ca="1">$E$129*H127</f>
        <v>23832</v>
      </c>
      <c r="I129" s="20">
        <f ca="1">$E$129*I127</f>
        <v>23832</v>
      </c>
      <c r="J129" s="20">
        <f ca="1">$E$129*J127</f>
        <v>23832</v>
      </c>
      <c r="K129" s="20">
        <f ca="1">$E$129*K127</f>
        <v>23832</v>
      </c>
      <c r="L129" s="20">
        <f ca="1">$E$129*L127</f>
        <v>23832</v>
      </c>
      <c r="M129" s="20">
        <f ca="1">$E$129*M127</f>
        <v>23832</v>
      </c>
      <c r="N129" s="20">
        <f ca="1">$E$129*N127</f>
        <v>23832</v>
      </c>
      <c r="O129" s="20">
        <f ca="1">$E$129*O127</f>
        <v>23832</v>
      </c>
      <c r="P129" s="20">
        <f ca="1">$E$129*P127</f>
        <v>23832</v>
      </c>
    </row>
    <row r="130" spans="1:16" x14ac:dyDescent="0.35">
      <c r="C130" s="8" t="s">
        <v>125</v>
      </c>
      <c r="D130" s="8" t="s">
        <v>65</v>
      </c>
      <c r="E130" s="25"/>
      <c r="G130" s="20">
        <f ca="1">G129*G120</f>
        <v>23832</v>
      </c>
      <c r="H130" s="20">
        <f t="shared" ref="H130:P130" ca="1" si="4">H129*H120</f>
        <v>24368.219999999998</v>
      </c>
      <c r="I130" s="20">
        <f t="shared" ca="1" si="4"/>
        <v>24916.504949999995</v>
      </c>
      <c r="J130" s="20">
        <f t="shared" ca="1" si="4"/>
        <v>25477.126311374996</v>
      </c>
      <c r="K130" s="20">
        <f t="shared" ca="1" si="4"/>
        <v>26050.361653380933</v>
      </c>
      <c r="L130" s="20">
        <f t="shared" ca="1" si="4"/>
        <v>26636.494790582004</v>
      </c>
      <c r="M130" s="20">
        <f t="shared" ca="1" si="4"/>
        <v>27235.815923370097</v>
      </c>
      <c r="N130" s="20">
        <f t="shared" ca="1" si="4"/>
        <v>27848.621781645921</v>
      </c>
      <c r="O130" s="20">
        <f t="shared" ca="1" si="4"/>
        <v>28475.21577173295</v>
      </c>
      <c r="P130" s="20">
        <f t="shared" ca="1" si="4"/>
        <v>29115.90812659694</v>
      </c>
    </row>
    <row r="131" spans="1:16" x14ac:dyDescent="0.35">
      <c r="C131" s="8" t="s">
        <v>124</v>
      </c>
      <c r="D131" s="8" t="s">
        <v>65</v>
      </c>
      <c r="E131" s="25"/>
      <c r="G131" s="20">
        <f ca="1">G130-G128</f>
        <v>126</v>
      </c>
      <c r="H131" s="20">
        <f t="shared" ref="H131:P131" ca="1" si="5">H130-H128</f>
        <v>128.21999999999753</v>
      </c>
      <c r="I131" s="20">
        <f t="shared" ca="1" si="5"/>
        <v>131.50494999999501</v>
      </c>
      <c r="J131" s="20">
        <f t="shared" ca="1" si="5"/>
        <v>134.12631137499557</v>
      </c>
      <c r="K131" s="20">
        <f t="shared" ca="1" si="5"/>
        <v>137.36165338093269</v>
      </c>
      <c r="L131" s="20">
        <f t="shared" ca="1" si="5"/>
        <v>140.4947905820045</v>
      </c>
      <c r="M131" s="20">
        <f t="shared" ca="1" si="5"/>
        <v>143.81592337009715</v>
      </c>
      <c r="N131" s="20">
        <f t="shared" ca="1" si="5"/>
        <v>146.62178164592115</v>
      </c>
      <c r="O131" s="20">
        <f t="shared" ca="1" si="5"/>
        <v>150.21577173295009</v>
      </c>
      <c r="P131" s="20">
        <f t="shared" ca="1" si="5"/>
        <v>153.90812659693984</v>
      </c>
    </row>
    <row r="132" spans="1:16" x14ac:dyDescent="0.35">
      <c r="C132" s="8" t="s">
        <v>101</v>
      </c>
      <c r="D132" s="8"/>
      <c r="E132" s="25"/>
      <c r="G132" s="18">
        <f ca="1">G131/G129</f>
        <v>5.287009063444109E-3</v>
      </c>
      <c r="H132" s="18">
        <f t="shared" ref="H132:P132" ca="1" si="6">H131/H129</f>
        <v>5.3801611278951628E-3</v>
      </c>
      <c r="I132" s="18">
        <f t="shared" ca="1" si="6"/>
        <v>5.5179989090296663E-3</v>
      </c>
      <c r="J132" s="18">
        <f t="shared" ca="1" si="6"/>
        <v>5.6279922530629222E-3</v>
      </c>
      <c r="K132" s="18">
        <f t="shared" ca="1" si="6"/>
        <v>5.763748463449677E-3</v>
      </c>
      <c r="L132" s="18">
        <f t="shared" ca="1" si="6"/>
        <v>5.8952161204265064E-3</v>
      </c>
      <c r="M132" s="18">
        <f t="shared" ca="1" si="6"/>
        <v>6.0345721454387862E-3</v>
      </c>
      <c r="N132" s="18">
        <f t="shared" ca="1" si="6"/>
        <v>6.1523070512722869E-3</v>
      </c>
      <c r="O132" s="18">
        <f t="shared" ca="1" si="6"/>
        <v>6.3031122747964959E-3</v>
      </c>
      <c r="P132" s="18">
        <f t="shared" ca="1" si="6"/>
        <v>6.4580449226644783E-3</v>
      </c>
    </row>
    <row r="133" spans="1:16" x14ac:dyDescent="0.35">
      <c r="C133" s="8"/>
      <c r="D133" s="8"/>
      <c r="E133" s="26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1:16" x14ac:dyDescent="0.35">
      <c r="C134" s="9" t="s">
        <v>127</v>
      </c>
      <c r="D134" s="9" t="s">
        <v>65</v>
      </c>
      <c r="E134" s="23">
        <f>-G43</f>
        <v>50818</v>
      </c>
      <c r="F134" s="20"/>
      <c r="G134" s="20">
        <f>-G43</f>
        <v>50818</v>
      </c>
      <c r="H134" s="20">
        <f>-H43</f>
        <v>52078</v>
      </c>
      <c r="I134" s="20">
        <f>-I43</f>
        <v>53369</v>
      </c>
      <c r="J134" s="20">
        <f>-J43</f>
        <v>54693</v>
      </c>
      <c r="K134" s="20">
        <f>-K43</f>
        <v>56049</v>
      </c>
      <c r="L134" s="20">
        <f>-L43</f>
        <v>57439</v>
      </c>
      <c r="M134" s="20">
        <f>-M43</f>
        <v>58864</v>
      </c>
      <c r="N134" s="20">
        <f>-N43</f>
        <v>60324</v>
      </c>
      <c r="O134" s="20">
        <f>-O43</f>
        <v>61820</v>
      </c>
      <c r="P134" s="20">
        <f>-P43</f>
        <v>63353</v>
      </c>
    </row>
    <row r="135" spans="1:16" x14ac:dyDescent="0.35">
      <c r="C135" s="9" t="s">
        <v>91</v>
      </c>
      <c r="D135" s="9" t="s">
        <v>65</v>
      </c>
      <c r="E135" s="20">
        <f>E114</f>
        <v>106</v>
      </c>
      <c r="F135" s="20"/>
      <c r="G135" s="20">
        <f>$E135*G121</f>
        <v>106</v>
      </c>
      <c r="H135" s="20">
        <f t="shared" ref="H135:P135" si="7">$E135*H121</f>
        <v>108.64999999999999</v>
      </c>
      <c r="I135" s="20">
        <f t="shared" si="7"/>
        <v>111.36624999999999</v>
      </c>
      <c r="J135" s="20">
        <f t="shared" si="7"/>
        <v>114.15040624999999</v>
      </c>
      <c r="K135" s="20">
        <f t="shared" si="7"/>
        <v>117.00416640624998</v>
      </c>
      <c r="L135" s="20">
        <f t="shared" si="7"/>
        <v>119.92927056640622</v>
      </c>
      <c r="M135" s="20">
        <f t="shared" si="7"/>
        <v>122.92750233056636</v>
      </c>
      <c r="N135" s="20">
        <f t="shared" si="7"/>
        <v>126.00068988883051</v>
      </c>
      <c r="O135" s="20">
        <f t="shared" si="7"/>
        <v>129.15070713605127</v>
      </c>
      <c r="P135" s="20">
        <f t="shared" si="7"/>
        <v>132.37947481445252</v>
      </c>
    </row>
    <row r="136" spans="1:16" x14ac:dyDescent="0.35">
      <c r="C136" s="9" t="s">
        <v>128</v>
      </c>
      <c r="D136" s="9" t="s">
        <v>54</v>
      </c>
      <c r="G136" s="20">
        <f>G134/G135</f>
        <v>479.41509433962267</v>
      </c>
      <c r="H136" s="20">
        <f t="shared" ref="H136:P136" si="8">H134/H135</f>
        <v>479.31891394385644</v>
      </c>
      <c r="I136" s="20">
        <f t="shared" si="8"/>
        <v>479.22058972085352</v>
      </c>
      <c r="J136" s="20">
        <f t="shared" si="8"/>
        <v>479.13101491918701</v>
      </c>
      <c r="K136" s="20">
        <f t="shared" si="8"/>
        <v>479.03422349416479</v>
      </c>
      <c r="L136" s="20">
        <f t="shared" si="8"/>
        <v>478.94062666040617</v>
      </c>
      <c r="M136" s="20">
        <f t="shared" si="8"/>
        <v>478.85134639527496</v>
      </c>
      <c r="N136" s="20">
        <f t="shared" si="8"/>
        <v>478.75928340728473</v>
      </c>
      <c r="O136" s="20">
        <f t="shared" si="8"/>
        <v>478.66559441193721</v>
      </c>
      <c r="P136" s="20">
        <f t="shared" si="8"/>
        <v>478.57116889757776</v>
      </c>
    </row>
    <row r="137" spans="1:16" x14ac:dyDescent="0.35"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x14ac:dyDescent="0.35">
      <c r="C138" s="9" t="s">
        <v>51</v>
      </c>
      <c r="D138" s="9" t="s">
        <v>56</v>
      </c>
      <c r="E138" s="19">
        <f ca="1">E65</f>
        <v>0.92</v>
      </c>
      <c r="G138" s="19">
        <f ca="1">$E138</f>
        <v>0.92</v>
      </c>
      <c r="H138" s="19">
        <f t="shared" ref="H138:P138" ca="1" si="9">$E138</f>
        <v>0.92</v>
      </c>
      <c r="I138" s="19">
        <f t="shared" ca="1" si="9"/>
        <v>0.92</v>
      </c>
      <c r="J138" s="19">
        <f t="shared" ca="1" si="9"/>
        <v>0.92</v>
      </c>
      <c r="K138" s="19">
        <f t="shared" ca="1" si="9"/>
        <v>0.92</v>
      </c>
      <c r="L138" s="19">
        <f t="shared" ca="1" si="9"/>
        <v>0.92</v>
      </c>
      <c r="M138" s="19">
        <f t="shared" ca="1" si="9"/>
        <v>0.92</v>
      </c>
      <c r="N138" s="19">
        <f t="shared" ca="1" si="9"/>
        <v>0.92</v>
      </c>
      <c r="O138" s="19">
        <f t="shared" ca="1" si="9"/>
        <v>0.92</v>
      </c>
      <c r="P138" s="19">
        <f t="shared" ca="1" si="9"/>
        <v>0.92</v>
      </c>
    </row>
    <row r="139" spans="1:16" x14ac:dyDescent="0.35">
      <c r="C139" s="9" t="s">
        <v>92</v>
      </c>
      <c r="D139" s="9" t="s">
        <v>54</v>
      </c>
      <c r="E139" s="19"/>
      <c r="G139" s="20">
        <f ca="1">G138*G136</f>
        <v>441.06188679245287</v>
      </c>
      <c r="H139" s="20">
        <f t="shared" ref="H139:P139" ca="1" si="10">H138*H136</f>
        <v>440.97340082834796</v>
      </c>
      <c r="I139" s="20">
        <f t="shared" ca="1" si="10"/>
        <v>440.88294254318527</v>
      </c>
      <c r="J139" s="20">
        <f t="shared" ca="1" si="10"/>
        <v>440.80053372565209</v>
      </c>
      <c r="K139" s="20">
        <f t="shared" ca="1" si="10"/>
        <v>440.71148561463161</v>
      </c>
      <c r="L139" s="20">
        <f t="shared" ca="1" si="10"/>
        <v>440.62537652757368</v>
      </c>
      <c r="M139" s="20">
        <f t="shared" ca="1" si="10"/>
        <v>440.54323868365299</v>
      </c>
      <c r="N139" s="20">
        <f t="shared" ca="1" si="10"/>
        <v>440.45854073470196</v>
      </c>
      <c r="O139" s="20">
        <f t="shared" ca="1" si="10"/>
        <v>440.37234685898227</v>
      </c>
      <c r="P139" s="20">
        <f t="shared" ca="1" si="10"/>
        <v>440.28547538577158</v>
      </c>
    </row>
    <row r="140" spans="1:16" x14ac:dyDescent="0.35">
      <c r="C140" s="9" t="s">
        <v>105</v>
      </c>
      <c r="E140" s="19"/>
      <c r="G140" s="20"/>
      <c r="H140" s="18">
        <f ca="1">H139/G139-1</f>
        <v>-2.0062029106260315E-4</v>
      </c>
      <c r="I140" s="18">
        <f t="shared" ref="I140:P140" ca="1" si="11">I139/H139-1</f>
        <v>-2.0513320076176456E-4</v>
      </c>
      <c r="J140" s="18">
        <f t="shared" ca="1" si="11"/>
        <v>-1.8691768172707235E-4</v>
      </c>
      <c r="K140" s="18">
        <f t="shared" ca="1" si="11"/>
        <v>-2.0201452631607442E-4</v>
      </c>
      <c r="L140" s="18">
        <f t="shared" ca="1" si="11"/>
        <v>-1.9538652807704615E-4</v>
      </c>
      <c r="M140" s="18">
        <f t="shared" ca="1" si="11"/>
        <v>-1.8641196875224253E-4</v>
      </c>
      <c r="N140" s="18">
        <f t="shared" ca="1" si="11"/>
        <v>-1.9225797041877435E-4</v>
      </c>
      <c r="O140" s="18">
        <f t="shared" ca="1" si="11"/>
        <v>-1.9569123481155692E-4</v>
      </c>
      <c r="P140" s="18">
        <f t="shared" ca="1" si="11"/>
        <v>-1.9726822955690171E-4</v>
      </c>
    </row>
    <row r="141" spans="1:16" x14ac:dyDescent="0.35">
      <c r="C141" s="9" t="s">
        <v>147</v>
      </c>
      <c r="D141" s="9" t="s">
        <v>54</v>
      </c>
      <c r="E141" s="19"/>
      <c r="G141" s="20">
        <f ca="1">G63</f>
        <v>430</v>
      </c>
      <c r="H141" s="20">
        <f t="shared" ref="H141:P141" ca="1" si="12">H63</f>
        <v>430</v>
      </c>
      <c r="I141" s="20">
        <f t="shared" ca="1" si="12"/>
        <v>430</v>
      </c>
      <c r="J141" s="20">
        <f t="shared" ca="1" si="12"/>
        <v>430</v>
      </c>
      <c r="K141" s="20">
        <f t="shared" ca="1" si="12"/>
        <v>430</v>
      </c>
      <c r="L141" s="20">
        <f t="shared" ca="1" si="12"/>
        <v>430</v>
      </c>
      <c r="M141" s="20">
        <f t="shared" ca="1" si="12"/>
        <v>430</v>
      </c>
      <c r="N141" s="20">
        <f t="shared" ca="1" si="12"/>
        <v>430</v>
      </c>
      <c r="O141" s="20">
        <f t="shared" ca="1" si="12"/>
        <v>430</v>
      </c>
      <c r="P141" s="20">
        <f t="shared" ca="1" si="12"/>
        <v>430</v>
      </c>
    </row>
    <row r="143" spans="1:16" s="34" customFormat="1" x14ac:dyDescent="0.35">
      <c r="A143" s="34" t="s">
        <v>129</v>
      </c>
    </row>
    <row r="144" spans="1:16" x14ac:dyDescent="0.35">
      <c r="C144" s="9" t="s">
        <v>97</v>
      </c>
      <c r="D144" s="9" t="s">
        <v>131</v>
      </c>
      <c r="G144" s="23">
        <f>G37</f>
        <v>80063</v>
      </c>
      <c r="H144" s="23">
        <f>H37</f>
        <v>82064</v>
      </c>
      <c r="I144" s="23">
        <f>I37</f>
        <v>84116</v>
      </c>
      <c r="J144" s="23">
        <f>J37</f>
        <v>86219</v>
      </c>
      <c r="K144" s="23">
        <f>K37</f>
        <v>88374</v>
      </c>
      <c r="L144" s="23">
        <f>L37</f>
        <v>90584</v>
      </c>
      <c r="M144" s="23">
        <f>M37</f>
        <v>92848</v>
      </c>
      <c r="N144" s="23">
        <f>N37</f>
        <v>95169</v>
      </c>
      <c r="O144" s="23">
        <f>O37</f>
        <v>97549</v>
      </c>
      <c r="P144" s="23">
        <f>P37</f>
        <v>99987</v>
      </c>
    </row>
    <row r="145" spans="3:16" x14ac:dyDescent="0.35">
      <c r="C145" s="9" t="s">
        <v>130</v>
      </c>
      <c r="D145" s="9" t="s">
        <v>88</v>
      </c>
      <c r="G145" s="20">
        <f>G124</f>
        <v>23.8</v>
      </c>
      <c r="H145" s="20">
        <f>H124</f>
        <v>24.395</v>
      </c>
      <c r="I145" s="20">
        <f>I124</f>
        <v>25.004874999999998</v>
      </c>
      <c r="J145" s="20">
        <f>J124</f>
        <v>25.629996874999996</v>
      </c>
      <c r="K145" s="20">
        <f>K124</f>
        <v>26.270746796874995</v>
      </c>
      <c r="L145" s="20">
        <f>L124</f>
        <v>26.927515466796869</v>
      </c>
      <c r="M145" s="20">
        <f>M124</f>
        <v>27.600703353466788</v>
      </c>
      <c r="N145" s="20">
        <f>N124</f>
        <v>28.290720937303455</v>
      </c>
      <c r="O145" s="20">
        <f>O124</f>
        <v>28.997988960736038</v>
      </c>
      <c r="P145" s="20">
        <f>P124</f>
        <v>29.722938684754432</v>
      </c>
    </row>
    <row r="146" spans="3:16" x14ac:dyDescent="0.35">
      <c r="C146" s="9" t="s">
        <v>149</v>
      </c>
      <c r="D146" s="9" t="s">
        <v>54</v>
      </c>
      <c r="G146" s="20">
        <f>G144/G145</f>
        <v>3363.9915966386552</v>
      </c>
      <c r="H146" s="20">
        <f t="shared" ref="H146:P146" si="13">H144/H145</f>
        <v>3363.9680262348843</v>
      </c>
      <c r="I146" s="20">
        <f t="shared" si="13"/>
        <v>3363.9840231154926</v>
      </c>
      <c r="J146" s="20">
        <f t="shared" si="13"/>
        <v>3363.9879247936901</v>
      </c>
      <c r="K146" s="20">
        <f t="shared" si="13"/>
        <v>3363.9698438459473</v>
      </c>
      <c r="L146" s="20">
        <f t="shared" si="13"/>
        <v>3363.9939827235503</v>
      </c>
      <c r="M146" s="20">
        <f t="shared" si="13"/>
        <v>3363.9722441470981</v>
      </c>
      <c r="N146" s="20">
        <f t="shared" si="13"/>
        <v>3363.9651746913414</v>
      </c>
      <c r="O146" s="20">
        <f t="shared" si="13"/>
        <v>3363.9919006826181</v>
      </c>
      <c r="P146" s="20">
        <f t="shared" si="13"/>
        <v>3363.9675087472287</v>
      </c>
    </row>
    <row r="148" spans="3:16" x14ac:dyDescent="0.35">
      <c r="C148" s="9" t="s">
        <v>132</v>
      </c>
      <c r="D148" s="9" t="s">
        <v>65</v>
      </c>
      <c r="G148" s="23">
        <f>(G35+G36)</f>
        <v>97020</v>
      </c>
      <c r="H148" s="23">
        <f>(H35+H36)</f>
        <v>99445</v>
      </c>
      <c r="I148" s="23">
        <f>(I35+I36)</f>
        <v>101932</v>
      </c>
      <c r="J148" s="23">
        <f>(J35+J36)</f>
        <v>104480</v>
      </c>
      <c r="K148" s="23">
        <f>(K35+K36)</f>
        <v>107092</v>
      </c>
      <c r="L148" s="23">
        <f>(L35+L36)</f>
        <v>109770</v>
      </c>
      <c r="M148" s="23">
        <f>(M35+M36)</f>
        <v>112514</v>
      </c>
      <c r="N148" s="23">
        <f>(N35+N36)</f>
        <v>115326</v>
      </c>
      <c r="O148" s="23">
        <f>(O35+O36)</f>
        <v>118210</v>
      </c>
      <c r="P148" s="23">
        <f>(P35+P36)</f>
        <v>121165</v>
      </c>
    </row>
    <row r="149" spans="3:16" x14ac:dyDescent="0.35">
      <c r="C149" s="9" t="s">
        <v>115</v>
      </c>
      <c r="D149" s="9" t="s">
        <v>47</v>
      </c>
      <c r="E149" s="14">
        <f ca="1">E59*E138</f>
        <v>920</v>
      </c>
      <c r="G149" s="14">
        <f ca="1">$E149</f>
        <v>920</v>
      </c>
      <c r="H149" s="14">
        <f t="shared" ref="H149:P149" ca="1" si="14">$E149</f>
        <v>920</v>
      </c>
      <c r="I149" s="14">
        <f t="shared" ca="1" si="14"/>
        <v>920</v>
      </c>
      <c r="J149" s="14">
        <f t="shared" ca="1" si="14"/>
        <v>920</v>
      </c>
      <c r="K149" s="14">
        <f t="shared" ca="1" si="14"/>
        <v>920</v>
      </c>
      <c r="L149" s="14">
        <f t="shared" ca="1" si="14"/>
        <v>920</v>
      </c>
      <c r="M149" s="14">
        <f t="shared" ca="1" si="14"/>
        <v>920</v>
      </c>
      <c r="N149" s="14">
        <f t="shared" ca="1" si="14"/>
        <v>920</v>
      </c>
      <c r="O149" s="14">
        <f t="shared" ca="1" si="14"/>
        <v>920</v>
      </c>
      <c r="P149" s="14">
        <f t="shared" ca="1" si="14"/>
        <v>920</v>
      </c>
    </row>
    <row r="150" spans="3:16" x14ac:dyDescent="0.35">
      <c r="C150" s="9" t="s">
        <v>133</v>
      </c>
      <c r="D150" s="9" t="s">
        <v>87</v>
      </c>
      <c r="G150" s="20">
        <f ca="1">G148/G149</f>
        <v>105.45652173913044</v>
      </c>
      <c r="H150" s="20">
        <f t="shared" ref="H150:P150" ca="1" si="15">H148/H149</f>
        <v>108.09239130434783</v>
      </c>
      <c r="I150" s="20">
        <f t="shared" ca="1" si="15"/>
        <v>110.79565217391304</v>
      </c>
      <c r="J150" s="20">
        <f t="shared" ca="1" si="15"/>
        <v>113.56521739130434</v>
      </c>
      <c r="K150" s="20">
        <f t="shared" ca="1" si="15"/>
        <v>116.40434782608696</v>
      </c>
      <c r="L150" s="20">
        <f t="shared" ca="1" si="15"/>
        <v>119.31521739130434</v>
      </c>
      <c r="M150" s="20">
        <f t="shared" ca="1" si="15"/>
        <v>122.29782608695652</v>
      </c>
      <c r="N150" s="20">
        <f t="shared" ca="1" si="15"/>
        <v>125.35434782608695</v>
      </c>
      <c r="O150" s="20">
        <f t="shared" ca="1" si="15"/>
        <v>128.4891304347826</v>
      </c>
      <c r="P150" s="20">
        <f t="shared" ca="1" si="15"/>
        <v>131.70108695652175</v>
      </c>
    </row>
    <row r="151" spans="3:16" x14ac:dyDescent="0.35">
      <c r="C151" s="9" t="s">
        <v>152</v>
      </c>
      <c r="D151" s="9" t="s">
        <v>87</v>
      </c>
      <c r="G151" s="20">
        <f>G123</f>
        <v>115</v>
      </c>
      <c r="H151" s="20">
        <f t="shared" ref="H151:P151" si="16">H123</f>
        <v>117.87499999999999</v>
      </c>
      <c r="I151" s="20">
        <f t="shared" si="16"/>
        <v>120.82187499999999</v>
      </c>
      <c r="J151" s="20">
        <f t="shared" si="16"/>
        <v>123.84242187499999</v>
      </c>
      <c r="K151" s="20">
        <f t="shared" si="16"/>
        <v>126.93848242187498</v>
      </c>
      <c r="L151" s="20">
        <f t="shared" si="16"/>
        <v>130.11194448242185</v>
      </c>
      <c r="M151" s="20">
        <f t="shared" si="16"/>
        <v>133.36474309448238</v>
      </c>
      <c r="N151" s="20">
        <f t="shared" si="16"/>
        <v>136.69886167184441</v>
      </c>
      <c r="O151" s="20">
        <f t="shared" si="16"/>
        <v>140.1163332136405</v>
      </c>
      <c r="P151" s="20">
        <f t="shared" si="16"/>
        <v>143.6192415439815</v>
      </c>
    </row>
    <row r="153" spans="3:16" x14ac:dyDescent="0.35">
      <c r="C153" s="9" t="s">
        <v>134</v>
      </c>
      <c r="D153" s="9" t="s">
        <v>135</v>
      </c>
      <c r="E153" s="23">
        <f ca="1">E82</f>
        <v>2000</v>
      </c>
      <c r="G153" s="23">
        <f ca="1">$E153</f>
        <v>2000</v>
      </c>
      <c r="H153" s="23">
        <f t="shared" ref="H153:P153" ca="1" si="17">$E153</f>
        <v>2000</v>
      </c>
      <c r="I153" s="23">
        <f t="shared" ca="1" si="17"/>
        <v>2000</v>
      </c>
      <c r="J153" s="23">
        <f t="shared" ca="1" si="17"/>
        <v>2000</v>
      </c>
      <c r="K153" s="23">
        <f t="shared" ca="1" si="17"/>
        <v>2000</v>
      </c>
      <c r="L153" s="23">
        <f t="shared" ca="1" si="17"/>
        <v>2000</v>
      </c>
      <c r="M153" s="23">
        <f t="shared" ca="1" si="17"/>
        <v>2000</v>
      </c>
      <c r="N153" s="23">
        <f t="shared" ca="1" si="17"/>
        <v>2000</v>
      </c>
      <c r="O153" s="23">
        <f t="shared" ca="1" si="17"/>
        <v>2000</v>
      </c>
      <c r="P153" s="23">
        <f t="shared" ca="1" si="17"/>
        <v>2000</v>
      </c>
    </row>
    <row r="154" spans="3:16" x14ac:dyDescent="0.35">
      <c r="C154" s="9" t="s">
        <v>136</v>
      </c>
      <c r="D154" s="9" t="s">
        <v>87</v>
      </c>
      <c r="G154" s="20">
        <f ca="1">G148/G153</f>
        <v>48.51</v>
      </c>
      <c r="H154" s="20">
        <f t="shared" ref="H154:P154" ca="1" si="18">H148/H153</f>
        <v>49.722499999999997</v>
      </c>
      <c r="I154" s="20">
        <f t="shared" ca="1" si="18"/>
        <v>50.966000000000001</v>
      </c>
      <c r="J154" s="20">
        <f t="shared" ca="1" si="18"/>
        <v>52.24</v>
      </c>
      <c r="K154" s="20">
        <f t="shared" ca="1" si="18"/>
        <v>53.545999999999999</v>
      </c>
      <c r="L154" s="20">
        <f t="shared" ca="1" si="18"/>
        <v>54.884999999999998</v>
      </c>
      <c r="M154" s="20">
        <f t="shared" ca="1" si="18"/>
        <v>56.256999999999998</v>
      </c>
      <c r="N154" s="20">
        <f t="shared" ca="1" si="18"/>
        <v>57.662999999999997</v>
      </c>
      <c r="O154" s="20">
        <f t="shared" ca="1" si="18"/>
        <v>59.104999999999997</v>
      </c>
      <c r="P154" s="20">
        <f t="shared" ca="1" si="18"/>
        <v>60.582500000000003</v>
      </c>
    </row>
    <row r="156" spans="3:16" x14ac:dyDescent="0.35">
      <c r="C156" s="9" t="s">
        <v>57</v>
      </c>
      <c r="D156" s="9" t="s">
        <v>54</v>
      </c>
      <c r="G156" s="20">
        <f ca="1">G139</f>
        <v>441.06188679245287</v>
      </c>
      <c r="H156" s="20">
        <f t="shared" ref="H156:P156" ca="1" si="19">H139</f>
        <v>440.97340082834796</v>
      </c>
      <c r="I156" s="20">
        <f t="shared" ca="1" si="19"/>
        <v>440.88294254318527</v>
      </c>
      <c r="J156" s="20">
        <f t="shared" ca="1" si="19"/>
        <v>440.80053372565209</v>
      </c>
      <c r="K156" s="20">
        <f t="shared" ca="1" si="19"/>
        <v>440.71148561463161</v>
      </c>
      <c r="L156" s="20">
        <f t="shared" ca="1" si="19"/>
        <v>440.62537652757368</v>
      </c>
      <c r="M156" s="20">
        <f t="shared" ca="1" si="19"/>
        <v>440.54323868365299</v>
      </c>
      <c r="N156" s="20">
        <f t="shared" ca="1" si="19"/>
        <v>440.45854073470196</v>
      </c>
      <c r="O156" s="20">
        <f t="shared" ca="1" si="19"/>
        <v>440.37234685898227</v>
      </c>
      <c r="P156" s="20">
        <f t="shared" ca="1" si="19"/>
        <v>440.28547538577158</v>
      </c>
    </row>
    <row r="157" spans="3:16" x14ac:dyDescent="0.35">
      <c r="C157" s="9" t="s">
        <v>138</v>
      </c>
      <c r="D157" s="9" t="s">
        <v>88</v>
      </c>
      <c r="G157" s="20">
        <f ca="1">G148/G156</f>
        <v>219.96913110212571</v>
      </c>
      <c r="H157" s="20">
        <f t="shared" ref="H157:P157" ca="1" si="20">H148/H156</f>
        <v>225.51246812891029</v>
      </c>
      <c r="I157" s="20">
        <f t="shared" ca="1" si="20"/>
        <v>231.19969081138942</v>
      </c>
      <c r="J157" s="20">
        <f t="shared" ca="1" si="20"/>
        <v>237.02330647591015</v>
      </c>
      <c r="K157" s="20">
        <f t="shared" ca="1" si="20"/>
        <v>242.99797825928172</v>
      </c>
      <c r="L157" s="20">
        <f t="shared" ca="1" si="20"/>
        <v>249.12319137191309</v>
      </c>
      <c r="M157" s="20">
        <f t="shared" ca="1" si="20"/>
        <v>255.39831308316707</v>
      </c>
      <c r="N157" s="20">
        <f t="shared" ca="1" si="20"/>
        <v>261.8316807017336</v>
      </c>
      <c r="O157" s="20">
        <f t="shared" ca="1" si="20"/>
        <v>268.43193230262858</v>
      </c>
      <c r="P157" s="20">
        <f t="shared" ca="1" si="20"/>
        <v>275.19645042534512</v>
      </c>
    </row>
  </sheetData>
  <conditionalFormatting sqref="A57:XFD145 A146:B146 D146:XFD146 A147:XFD173">
    <cfRule type="containsText" dxfId="97" priority="11" operator="containsText" text="FALSE">
      <formula>NOT(ISERROR(SEARCH("FALSE",A57)))</formula>
    </cfRule>
    <cfRule type="cellIs" dxfId="96" priority="12" operator="equal">
      <formula>TRUE</formula>
    </cfRule>
    <cfRule type="containsText" dxfId="95" priority="13" operator="containsText" text="FALSE">
      <formula>NOT(ISERROR(SEARCH("FALSE",A57)))</formula>
    </cfRule>
    <cfRule type="cellIs" dxfId="94" priority="14" operator="equal">
      <formula>TRUE</formula>
    </cfRule>
    <cfRule type="containsText" dxfId="93" priority="15" operator="containsText" text="FALSE">
      <formula>NOT(ISERROR(SEARCH("FALSE",A57)))</formula>
    </cfRule>
    <cfRule type="cellIs" dxfId="92" priority="16" operator="equal">
      <formula>TRUE</formula>
    </cfRule>
    <cfRule type="containsText" dxfId="91" priority="17" operator="containsText" text="FALSE">
      <formula>NOT(ISERROR(SEARCH("FALSE",A57)))</formula>
    </cfRule>
    <cfRule type="cellIs" dxfId="90" priority="18" operator="equal">
      <formula>TRUE</formula>
    </cfRule>
  </conditionalFormatting>
  <conditionalFormatting sqref="A1:XFD145 A146:B146 D146:XFD146 A147:XFD1048576">
    <cfRule type="containsText" dxfId="89" priority="9" operator="containsText" text="FALSE">
      <formula>NOT(ISERROR(SEARCH("FALSE",A1)))</formula>
    </cfRule>
    <cfRule type="cellIs" dxfId="88" priority="10" operator="equal">
      <formula>TRUE</formula>
    </cfRule>
  </conditionalFormatting>
  <conditionalFormatting sqref="C146">
    <cfRule type="containsText" dxfId="87" priority="1" operator="containsText" text="FALSE">
      <formula>NOT(ISERROR(SEARCH("FALSE",C146)))</formula>
    </cfRule>
    <cfRule type="cellIs" dxfId="86" priority="2" operator="equal">
      <formula>TRUE</formula>
    </cfRule>
    <cfRule type="containsText" dxfId="85" priority="3" operator="containsText" text="FALSE">
      <formula>NOT(ISERROR(SEARCH("FALSE",C146)))</formula>
    </cfRule>
    <cfRule type="cellIs" dxfId="84" priority="4" operator="equal">
      <formula>TRUE</formula>
    </cfRule>
    <cfRule type="containsText" dxfId="83" priority="5" operator="containsText" text="FALSE">
      <formula>NOT(ISERROR(SEARCH("FALSE",C146)))</formula>
    </cfRule>
    <cfRule type="cellIs" dxfId="82" priority="6" operator="equal">
      <formula>TRUE</formula>
    </cfRule>
    <cfRule type="containsText" dxfId="81" priority="7" operator="containsText" text="FALSE">
      <formula>NOT(ISERROR(SEARCH("FALSE",C146)))</formula>
    </cfRule>
    <cfRule type="cellIs" dxfId="80" priority="8" operator="equal">
      <formula>TRUE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159"/>
  <sheetViews>
    <sheetView workbookViewId="0">
      <pane xSplit="4" ySplit="1" topLeftCell="E155" activePane="bottomRight" state="frozen"/>
      <selection pane="topRight" activeCell="E1" sqref="E1"/>
      <selection pane="bottomLeft" activeCell="A2" sqref="A2"/>
      <selection pane="bottomRight" activeCell="G159" sqref="G159"/>
    </sheetView>
  </sheetViews>
  <sheetFormatPr defaultRowHeight="14.5" x14ac:dyDescent="0.35"/>
  <cols>
    <col min="1" max="2" width="2.36328125" style="9" customWidth="1"/>
    <col min="3" max="3" width="35.453125" style="9" customWidth="1"/>
    <col min="4" max="4" width="11.7265625" style="9" customWidth="1"/>
    <col min="5" max="5" width="11" style="9" customWidth="1"/>
    <col min="6" max="16" width="10.81640625" style="9" customWidth="1"/>
    <col min="17" max="16384" width="8.7265625" style="9"/>
  </cols>
  <sheetData>
    <row r="1" spans="6:16" x14ac:dyDescent="0.35">
      <c r="F1" s="27">
        <v>2016</v>
      </c>
      <c r="G1" s="27">
        <v>2017</v>
      </c>
      <c r="H1" s="27">
        <v>2018</v>
      </c>
      <c r="I1" s="27">
        <v>2019</v>
      </c>
      <c r="J1" s="27">
        <v>2020</v>
      </c>
      <c r="K1" s="27">
        <v>2021</v>
      </c>
      <c r="L1" s="27">
        <v>2022</v>
      </c>
      <c r="M1" s="27">
        <v>2023</v>
      </c>
      <c r="N1" s="27">
        <v>2024</v>
      </c>
      <c r="O1" s="27">
        <v>2025</v>
      </c>
      <c r="P1" s="27">
        <v>2026</v>
      </c>
    </row>
    <row r="28" spans="15:16" x14ac:dyDescent="0.35">
      <c r="O28" s="27">
        <v>5.66</v>
      </c>
      <c r="P28" s="42">
        <v>0.75</v>
      </c>
    </row>
    <row r="29" spans="15:16" x14ac:dyDescent="0.35">
      <c r="O29" s="27">
        <v>3.13</v>
      </c>
      <c r="P29" s="19">
        <f>1-P28</f>
        <v>0.25</v>
      </c>
    </row>
    <row r="30" spans="15:16" x14ac:dyDescent="0.35">
      <c r="O30" s="9">
        <f>SUMPRODUCT(O28:O29,P28:P29)</f>
        <v>5.0274999999999999</v>
      </c>
    </row>
    <row r="35" spans="3:16" x14ac:dyDescent="0.35">
      <c r="F35" s="27">
        <v>2016</v>
      </c>
      <c r="G35" s="27">
        <v>2017</v>
      </c>
      <c r="H35" s="27">
        <v>2018</v>
      </c>
      <c r="I35" s="27">
        <v>2019</v>
      </c>
      <c r="J35" s="27">
        <v>2020</v>
      </c>
      <c r="K35" s="27">
        <v>2021</v>
      </c>
      <c r="L35" s="27">
        <v>2022</v>
      </c>
      <c r="M35" s="27">
        <v>2023</v>
      </c>
      <c r="N35" s="27">
        <v>2024</v>
      </c>
      <c r="O35" s="27">
        <v>2025</v>
      </c>
      <c r="P35" s="27">
        <v>2026</v>
      </c>
    </row>
    <row r="36" spans="3:16" s="11" customFormat="1" x14ac:dyDescent="0.35">
      <c r="C36" s="11" t="s">
        <v>34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</row>
    <row r="37" spans="3:16" s="11" customFormat="1" x14ac:dyDescent="0.35">
      <c r="C37" s="11" t="s">
        <v>12</v>
      </c>
      <c r="F37" s="38">
        <v>0</v>
      </c>
      <c r="G37" s="38">
        <v>154774</v>
      </c>
      <c r="H37" s="38">
        <v>158644</v>
      </c>
      <c r="I37" s="38">
        <v>162610</v>
      </c>
      <c r="J37" s="38">
        <v>166675</v>
      </c>
      <c r="K37" s="38">
        <v>170842</v>
      </c>
      <c r="L37" s="38">
        <v>175113</v>
      </c>
      <c r="M37" s="38">
        <v>179491</v>
      </c>
      <c r="N37" s="38">
        <v>183978</v>
      </c>
      <c r="O37" s="38">
        <v>188578</v>
      </c>
      <c r="P37" s="38">
        <v>193292</v>
      </c>
    </row>
    <row r="38" spans="3:16" s="11" customFormat="1" x14ac:dyDescent="0.35">
      <c r="C38" s="11" t="s">
        <v>0</v>
      </c>
      <c r="F38" s="38">
        <v>0</v>
      </c>
      <c r="G38" s="38">
        <v>1731</v>
      </c>
      <c r="H38" s="38">
        <v>1775</v>
      </c>
      <c r="I38" s="38">
        <v>1819</v>
      </c>
      <c r="J38" s="38">
        <v>1865</v>
      </c>
      <c r="K38" s="38">
        <v>1911</v>
      </c>
      <c r="L38" s="38">
        <v>1959</v>
      </c>
      <c r="M38" s="38">
        <v>2008</v>
      </c>
      <c r="N38" s="38">
        <v>2058</v>
      </c>
      <c r="O38" s="38">
        <v>2110</v>
      </c>
      <c r="P38" s="38">
        <v>2162</v>
      </c>
    </row>
    <row r="39" spans="3:16" s="14" customFormat="1" x14ac:dyDescent="0.35">
      <c r="C39" s="14" t="s">
        <v>35</v>
      </c>
      <c r="F39" s="38">
        <v>393919</v>
      </c>
      <c r="G39" s="38">
        <v>78784</v>
      </c>
      <c r="H39" s="38">
        <v>78784</v>
      </c>
      <c r="I39" s="38">
        <v>78784</v>
      </c>
      <c r="J39" s="38">
        <v>78784</v>
      </c>
      <c r="K39" s="38">
        <v>78784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</row>
    <row r="40" spans="3:16" s="14" customFormat="1" ht="15" thickBot="1" x14ac:dyDescent="0.4">
      <c r="C40" s="40" t="s">
        <v>33</v>
      </c>
      <c r="D40" s="40"/>
      <c r="E40" s="40"/>
      <c r="F40" s="29">
        <v>393919</v>
      </c>
      <c r="G40" s="29">
        <v>235290</v>
      </c>
      <c r="H40" s="29">
        <v>239202</v>
      </c>
      <c r="I40" s="29">
        <v>243213</v>
      </c>
      <c r="J40" s="29">
        <v>247323</v>
      </c>
      <c r="K40" s="29">
        <v>251537</v>
      </c>
      <c r="L40" s="29">
        <v>177072</v>
      </c>
      <c r="M40" s="29">
        <v>181499</v>
      </c>
      <c r="N40" s="29">
        <v>186036</v>
      </c>
      <c r="O40" s="29">
        <v>190687</v>
      </c>
      <c r="P40" s="29">
        <v>195454</v>
      </c>
    </row>
    <row r="41" spans="3:16" s="14" customFormat="1" x14ac:dyDescent="0.35"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spans="3:16" s="11" customFormat="1" x14ac:dyDescent="0.35">
      <c r="C42" s="11" t="s">
        <v>27</v>
      </c>
      <c r="F42" s="38">
        <v>0</v>
      </c>
      <c r="G42" s="38">
        <v>-20898</v>
      </c>
      <c r="H42" s="38">
        <v>-21369</v>
      </c>
      <c r="I42" s="38">
        <v>-21849</v>
      </c>
      <c r="J42" s="38">
        <v>-22341</v>
      </c>
      <c r="K42" s="38">
        <v>-22844</v>
      </c>
      <c r="L42" s="38">
        <v>-23358</v>
      </c>
      <c r="M42" s="38">
        <v>-23883</v>
      </c>
      <c r="N42" s="38">
        <v>-24421</v>
      </c>
      <c r="O42" s="38">
        <v>-24970</v>
      </c>
      <c r="P42" s="38">
        <v>-25532</v>
      </c>
    </row>
    <row r="43" spans="3:16" s="11" customFormat="1" x14ac:dyDescent="0.35">
      <c r="C43" s="11" t="s">
        <v>28</v>
      </c>
      <c r="F43" s="38">
        <v>0</v>
      </c>
      <c r="G43" s="38">
        <v>0</v>
      </c>
      <c r="H43" s="38">
        <v>0</v>
      </c>
      <c r="I43" s="38">
        <v>-26261</v>
      </c>
      <c r="J43" s="38">
        <v>-26261</v>
      </c>
      <c r="K43" s="38">
        <v>-26261</v>
      </c>
      <c r="L43" s="38">
        <v>-26261</v>
      </c>
      <c r="M43" s="38">
        <v>-26261</v>
      </c>
      <c r="N43" s="38">
        <v>-26261</v>
      </c>
      <c r="O43" s="38">
        <v>-26261</v>
      </c>
      <c r="P43" s="38">
        <v>-26261</v>
      </c>
    </row>
    <row r="44" spans="3:16" s="11" customFormat="1" x14ac:dyDescent="0.35">
      <c r="C44" s="11" t="s">
        <v>29</v>
      </c>
      <c r="F44" s="38">
        <v>0</v>
      </c>
      <c r="G44" s="38">
        <v>-10980</v>
      </c>
      <c r="H44" s="38">
        <v>-11252</v>
      </c>
      <c r="I44" s="38">
        <v>-11531</v>
      </c>
      <c r="J44" s="38">
        <v>-11817</v>
      </c>
      <c r="K44" s="38">
        <v>-12110</v>
      </c>
      <c r="L44" s="38">
        <v>-12411</v>
      </c>
      <c r="M44" s="38">
        <v>-12718</v>
      </c>
      <c r="N44" s="38">
        <v>-13034</v>
      </c>
      <c r="O44" s="38">
        <v>-13357</v>
      </c>
      <c r="P44" s="38">
        <v>-13688</v>
      </c>
    </row>
    <row r="45" spans="3:16" s="11" customFormat="1" ht="15" thickBot="1" x14ac:dyDescent="0.4">
      <c r="C45" s="12" t="s">
        <v>36</v>
      </c>
      <c r="D45" s="12"/>
      <c r="E45" s="12"/>
      <c r="F45" s="29">
        <v>0</v>
      </c>
      <c r="G45" s="29">
        <v>-31878</v>
      </c>
      <c r="H45" s="29">
        <v>-32621</v>
      </c>
      <c r="I45" s="29">
        <v>-59642</v>
      </c>
      <c r="J45" s="29">
        <v>-60419</v>
      </c>
      <c r="K45" s="29">
        <v>-61215</v>
      </c>
      <c r="L45" s="29">
        <v>-62030</v>
      </c>
      <c r="M45" s="29">
        <v>-62863</v>
      </c>
      <c r="N45" s="29">
        <v>-63716</v>
      </c>
      <c r="O45" s="29">
        <v>-64588</v>
      </c>
      <c r="P45" s="29">
        <v>-65481</v>
      </c>
    </row>
    <row r="46" spans="3:16" s="14" customFormat="1" x14ac:dyDescent="0.35">
      <c r="C46" s="14" t="s">
        <v>30</v>
      </c>
      <c r="F46" s="38">
        <v>393919</v>
      </c>
      <c r="G46" s="38">
        <v>203411</v>
      </c>
      <c r="H46" s="38">
        <v>206582</v>
      </c>
      <c r="I46" s="38">
        <v>183571</v>
      </c>
      <c r="J46" s="38">
        <v>186904</v>
      </c>
      <c r="K46" s="38">
        <v>190322</v>
      </c>
      <c r="L46" s="38">
        <v>115042</v>
      </c>
      <c r="M46" s="38">
        <v>118636</v>
      </c>
      <c r="N46" s="38">
        <v>122321</v>
      </c>
      <c r="O46" s="38">
        <v>126099</v>
      </c>
      <c r="P46" s="38">
        <v>129973</v>
      </c>
    </row>
    <row r="47" spans="3:16" s="11" customFormat="1" x14ac:dyDescent="0.35">
      <c r="C47" s="11" t="s">
        <v>37</v>
      </c>
      <c r="F47" s="38">
        <v>0</v>
      </c>
      <c r="G47" s="38">
        <v>-187637</v>
      </c>
      <c r="H47" s="38">
        <v>-321569</v>
      </c>
      <c r="I47" s="38">
        <v>-229655</v>
      </c>
      <c r="J47" s="38">
        <v>-164002</v>
      </c>
      <c r="K47" s="38">
        <v>-117257</v>
      </c>
      <c r="L47" s="38">
        <v>-117125</v>
      </c>
      <c r="M47" s="38">
        <v>-117257</v>
      </c>
      <c r="N47" s="38">
        <v>-58563</v>
      </c>
      <c r="O47" s="38">
        <v>0</v>
      </c>
      <c r="P47" s="38">
        <v>0</v>
      </c>
    </row>
    <row r="48" spans="3:16" s="14" customFormat="1" x14ac:dyDescent="0.35">
      <c r="C48" s="14" t="s">
        <v>31</v>
      </c>
      <c r="F48" s="38">
        <v>393919</v>
      </c>
      <c r="G48" s="38">
        <v>15775</v>
      </c>
      <c r="H48" s="38">
        <v>-114988</v>
      </c>
      <c r="I48" s="38">
        <v>-46084</v>
      </c>
      <c r="J48" s="38">
        <v>22902</v>
      </c>
      <c r="K48" s="38">
        <v>73065</v>
      </c>
      <c r="L48" s="38">
        <v>-2083</v>
      </c>
      <c r="M48" s="38">
        <v>1379</v>
      </c>
      <c r="N48" s="38">
        <v>63758</v>
      </c>
      <c r="O48" s="38">
        <v>126099</v>
      </c>
      <c r="P48" s="38">
        <v>129973</v>
      </c>
    </row>
    <row r="49" spans="1:16" s="11" customFormat="1" x14ac:dyDescent="0.35">
      <c r="C49" s="11" t="s">
        <v>38</v>
      </c>
      <c r="F49" s="38">
        <v>0</v>
      </c>
      <c r="G49" s="38">
        <v>-21009</v>
      </c>
      <c r="H49" s="38">
        <v>-19559</v>
      </c>
      <c r="I49" s="38">
        <v>-17993</v>
      </c>
      <c r="J49" s="38">
        <v>-16301</v>
      </c>
      <c r="K49" s="38">
        <v>-14474</v>
      </c>
      <c r="L49" s="38">
        <v>-12501</v>
      </c>
      <c r="M49" s="38">
        <v>-10370</v>
      </c>
      <c r="N49" s="38">
        <v>-8069</v>
      </c>
      <c r="O49" s="38">
        <v>-5583</v>
      </c>
      <c r="P49" s="38">
        <v>-2899</v>
      </c>
    </row>
    <row r="50" spans="1:16" s="14" customFormat="1" x14ac:dyDescent="0.35">
      <c r="C50" s="14" t="s">
        <v>39</v>
      </c>
      <c r="F50" s="38">
        <v>-153628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-5447</v>
      </c>
      <c r="P50" s="38">
        <v>-49559</v>
      </c>
    </row>
    <row r="51" spans="1:16" s="14" customFormat="1" x14ac:dyDescent="0.35">
      <c r="C51" s="41" t="s">
        <v>40</v>
      </c>
      <c r="F51" s="43">
        <v>240291</v>
      </c>
      <c r="G51" s="43">
        <v>-5234</v>
      </c>
      <c r="H51" s="43">
        <v>-134546</v>
      </c>
      <c r="I51" s="43">
        <v>-64076</v>
      </c>
      <c r="J51" s="43">
        <v>6601</v>
      </c>
      <c r="K51" s="43">
        <v>58591</v>
      </c>
      <c r="L51" s="43">
        <v>-14584</v>
      </c>
      <c r="M51" s="43">
        <v>-8991</v>
      </c>
      <c r="N51" s="43">
        <v>55689</v>
      </c>
      <c r="O51" s="43">
        <v>115069</v>
      </c>
      <c r="P51" s="43">
        <v>77515</v>
      </c>
    </row>
    <row r="52" spans="1:16" s="11" customFormat="1" x14ac:dyDescent="0.35">
      <c r="C52" s="11" t="s">
        <v>41</v>
      </c>
      <c r="F52" s="38">
        <v>0</v>
      </c>
      <c r="G52" s="38">
        <v>187637</v>
      </c>
      <c r="H52" s="38">
        <v>321569</v>
      </c>
      <c r="I52" s="38">
        <v>229655</v>
      </c>
      <c r="J52" s="38">
        <v>164002</v>
      </c>
      <c r="K52" s="38">
        <v>117257</v>
      </c>
      <c r="L52" s="38">
        <v>117125</v>
      </c>
      <c r="M52" s="38">
        <v>117257</v>
      </c>
      <c r="N52" s="38">
        <v>58563</v>
      </c>
      <c r="O52" s="38">
        <v>0</v>
      </c>
      <c r="P52" s="38">
        <v>0</v>
      </c>
    </row>
    <row r="53" spans="1:16" s="14" customFormat="1" x14ac:dyDescent="0.35">
      <c r="C53" s="14" t="s">
        <v>42</v>
      </c>
      <c r="F53" s="38">
        <v>-1050451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</row>
    <row r="54" spans="1:16" s="11" customFormat="1" x14ac:dyDescent="0.35">
      <c r="C54" s="11" t="s">
        <v>32</v>
      </c>
      <c r="F54" s="38">
        <v>0</v>
      </c>
      <c r="G54" s="38">
        <v>-18128</v>
      </c>
      <c r="H54" s="38">
        <v>-19578</v>
      </c>
      <c r="I54" s="38">
        <v>-21145</v>
      </c>
      <c r="J54" s="38">
        <v>-22836</v>
      </c>
      <c r="K54" s="38">
        <v>-24663</v>
      </c>
      <c r="L54" s="38">
        <v>-26636</v>
      </c>
      <c r="M54" s="38">
        <v>-28767</v>
      </c>
      <c r="N54" s="38">
        <v>-31068</v>
      </c>
      <c r="O54" s="38">
        <v>-33554</v>
      </c>
      <c r="P54" s="38">
        <v>-36238</v>
      </c>
    </row>
    <row r="55" spans="1:16" s="14" customFormat="1" x14ac:dyDescent="0.35">
      <c r="C55" s="14" t="s">
        <v>43</v>
      </c>
      <c r="F55" s="38">
        <v>-810160</v>
      </c>
      <c r="G55" s="38">
        <v>164274</v>
      </c>
      <c r="H55" s="38">
        <v>167444</v>
      </c>
      <c r="I55" s="38">
        <v>144434</v>
      </c>
      <c r="J55" s="38">
        <v>147767</v>
      </c>
      <c r="K55" s="38">
        <v>151185</v>
      </c>
      <c r="L55" s="38">
        <v>75905</v>
      </c>
      <c r="M55" s="38">
        <v>79499</v>
      </c>
      <c r="N55" s="38">
        <v>83184</v>
      </c>
      <c r="O55" s="38">
        <v>81515</v>
      </c>
      <c r="P55" s="38">
        <v>41277</v>
      </c>
    </row>
    <row r="57" spans="1:16" x14ac:dyDescent="0.35">
      <c r="G57" s="27">
        <v>2016</v>
      </c>
      <c r="H57" s="27">
        <v>2017</v>
      </c>
      <c r="I57" s="27">
        <v>2018</v>
      </c>
      <c r="J57" s="27">
        <v>2019</v>
      </c>
      <c r="K57" s="27">
        <v>2020</v>
      </c>
      <c r="L57" s="27">
        <v>2021</v>
      </c>
      <c r="M57" s="27">
        <v>2022</v>
      </c>
      <c r="N57" s="27">
        <v>2023</v>
      </c>
      <c r="O57" s="27">
        <v>2024</v>
      </c>
      <c r="P57" s="27">
        <v>2025</v>
      </c>
    </row>
    <row r="58" spans="1:16" s="34" customFormat="1" x14ac:dyDescent="0.35">
      <c r="A58" s="34" t="s">
        <v>119</v>
      </c>
      <c r="D58" s="34" t="s">
        <v>141</v>
      </c>
    </row>
    <row r="59" spans="1:16" x14ac:dyDescent="0.35">
      <c r="C59" s="9" t="s">
        <v>115</v>
      </c>
      <c r="D59" s="9" t="s">
        <v>47</v>
      </c>
      <c r="E59" s="37">
        <f ca="1">INDIRECT("Assumptions!"&amp;$D$58&amp;"10")*1000</f>
        <v>1000</v>
      </c>
      <c r="F59" s="14"/>
      <c r="G59" s="16">
        <f ca="1">E59</f>
        <v>1000</v>
      </c>
      <c r="H59" s="16">
        <f ca="1">G59</f>
        <v>1000</v>
      </c>
      <c r="I59" s="16">
        <f ca="1">H59</f>
        <v>1000</v>
      </c>
      <c r="J59" s="16">
        <f ca="1">I59</f>
        <v>1000</v>
      </c>
      <c r="K59" s="16">
        <f ca="1">J59</f>
        <v>1000</v>
      </c>
      <c r="L59" s="16">
        <f ca="1">K59</f>
        <v>1000</v>
      </c>
      <c r="M59" s="16">
        <f ca="1">L59</f>
        <v>1000</v>
      </c>
      <c r="N59" s="16">
        <f ca="1">M59</f>
        <v>1000</v>
      </c>
      <c r="O59" s="16">
        <f ca="1">N59</f>
        <v>1000</v>
      </c>
      <c r="P59" s="16">
        <f ca="1">O59</f>
        <v>1000</v>
      </c>
    </row>
    <row r="60" spans="1:16" x14ac:dyDescent="0.35">
      <c r="C60" s="9" t="s">
        <v>48</v>
      </c>
      <c r="D60" s="9" t="s">
        <v>49</v>
      </c>
      <c r="E60" s="9">
        <f ca="1">E61/E59</f>
        <v>2</v>
      </c>
      <c r="G60" s="17">
        <f ca="1">E60</f>
        <v>2</v>
      </c>
      <c r="H60" s="17">
        <f ca="1">G60</f>
        <v>2</v>
      </c>
      <c r="I60" s="17">
        <f ca="1">H60</f>
        <v>2</v>
      </c>
      <c r="J60" s="17">
        <f ca="1">I60</f>
        <v>2</v>
      </c>
      <c r="K60" s="17">
        <f ca="1">J60</f>
        <v>2</v>
      </c>
      <c r="L60" s="17">
        <f ca="1">K60</f>
        <v>2</v>
      </c>
      <c r="M60" s="17">
        <f ca="1">L60</f>
        <v>2</v>
      </c>
      <c r="N60" s="17">
        <f ca="1">M60</f>
        <v>2</v>
      </c>
      <c r="O60" s="17">
        <f ca="1">N60</f>
        <v>2</v>
      </c>
      <c r="P60" s="17">
        <f ca="1">O60</f>
        <v>2</v>
      </c>
    </row>
    <row r="61" spans="1:16" x14ac:dyDescent="0.35">
      <c r="C61" s="9" t="s">
        <v>104</v>
      </c>
      <c r="D61" s="9" t="s">
        <v>50</v>
      </c>
      <c r="E61" s="37">
        <f ca="1">INDIRECT("Assumptions!"&amp;$D$58&amp;"11")*1000</f>
        <v>2000</v>
      </c>
      <c r="F61" s="16"/>
      <c r="G61" s="16">
        <f ca="1">G59*G60</f>
        <v>2000</v>
      </c>
      <c r="H61" s="16">
        <f ca="1">H59*H60</f>
        <v>2000</v>
      </c>
      <c r="I61" s="16">
        <f ca="1">I59*I60</f>
        <v>2000</v>
      </c>
      <c r="J61" s="16">
        <f ca="1">J59*J60</f>
        <v>2000</v>
      </c>
      <c r="K61" s="16">
        <f ca="1">K59*K60</f>
        <v>2000</v>
      </c>
      <c r="L61" s="16">
        <f ca="1">L59*L60</f>
        <v>2000</v>
      </c>
      <c r="M61" s="16">
        <f ca="1">M59*M60</f>
        <v>2000</v>
      </c>
      <c r="N61" s="16">
        <f ca="1">N59*N60</f>
        <v>2000</v>
      </c>
      <c r="O61" s="16">
        <f ca="1">O59*O60</f>
        <v>2000</v>
      </c>
      <c r="P61" s="16">
        <f ca="1">P59*P60</f>
        <v>2000</v>
      </c>
    </row>
    <row r="62" spans="1:16" x14ac:dyDescent="0.35">
      <c r="C62" s="9" t="s">
        <v>52</v>
      </c>
      <c r="D62" s="9" t="s">
        <v>53</v>
      </c>
      <c r="E62" s="37">
        <f ca="1">INDIRECT("Assumptions!"&amp;$D$58&amp;"12")</f>
        <v>80</v>
      </c>
      <c r="F62" s="16"/>
      <c r="G62" s="16">
        <f ca="1">$E$62</f>
        <v>80</v>
      </c>
      <c r="H62" s="16">
        <f ca="1">$E$62</f>
        <v>80</v>
      </c>
      <c r="I62" s="16">
        <f ca="1">$E$62</f>
        <v>80</v>
      </c>
      <c r="J62" s="16">
        <f ca="1">$E$62</f>
        <v>80</v>
      </c>
      <c r="K62" s="16">
        <f ca="1">$E$62</f>
        <v>80</v>
      </c>
      <c r="L62" s="16">
        <f ca="1">$E$62</f>
        <v>80</v>
      </c>
      <c r="M62" s="16">
        <f ca="1">$E$62</f>
        <v>80</v>
      </c>
      <c r="N62" s="16">
        <f ca="1">$E$62</f>
        <v>80</v>
      </c>
      <c r="O62" s="16">
        <f ca="1">$E$62</f>
        <v>80</v>
      </c>
      <c r="P62" s="16">
        <f ca="1">$E$62</f>
        <v>80</v>
      </c>
    </row>
    <row r="63" spans="1:16" x14ac:dyDescent="0.35">
      <c r="C63" s="9" t="s">
        <v>106</v>
      </c>
      <c r="D63" s="9" t="s">
        <v>54</v>
      </c>
      <c r="G63" s="16">
        <f ca="1">G62*G61/1000</f>
        <v>160</v>
      </c>
      <c r="H63" s="16">
        <f ca="1">H62*H61/1000</f>
        <v>160</v>
      </c>
      <c r="I63" s="16">
        <f ca="1">I62*I61/1000</f>
        <v>160</v>
      </c>
      <c r="J63" s="16">
        <f ca="1">J62*J61/1000</f>
        <v>160</v>
      </c>
      <c r="K63" s="16">
        <f ca="1">K62*K61/1000</f>
        <v>160</v>
      </c>
      <c r="L63" s="16">
        <f ca="1">L62*L61/1000</f>
        <v>160</v>
      </c>
      <c r="M63" s="16">
        <f ca="1">M62*M61/1000</f>
        <v>160</v>
      </c>
      <c r="N63" s="16">
        <f ca="1">N62*N61/1000</f>
        <v>160</v>
      </c>
      <c r="O63" s="16">
        <f ca="1">O62*O61/1000</f>
        <v>160</v>
      </c>
      <c r="P63" s="16">
        <f ca="1">P62*P61/1000</f>
        <v>160</v>
      </c>
    </row>
    <row r="64" spans="1:16" x14ac:dyDescent="0.35">
      <c r="C64" s="9" t="s">
        <v>55</v>
      </c>
      <c r="D64" s="9" t="s">
        <v>56</v>
      </c>
      <c r="E64" s="32">
        <f ca="1">INDIRECT("Assumptions!"&amp;$D$58&amp;"13")</f>
        <v>1</v>
      </c>
      <c r="F64" s="19"/>
      <c r="G64" s="19">
        <f ca="1">$E$64</f>
        <v>1</v>
      </c>
      <c r="H64" s="19">
        <f ca="1">$E$64</f>
        <v>1</v>
      </c>
      <c r="I64" s="19">
        <f ca="1">$E$64</f>
        <v>1</v>
      </c>
      <c r="J64" s="19">
        <f ca="1">$E$64</f>
        <v>1</v>
      </c>
      <c r="K64" s="19">
        <f ca="1">$E$64</f>
        <v>1</v>
      </c>
      <c r="L64" s="19">
        <f ca="1">$E$64</f>
        <v>1</v>
      </c>
      <c r="M64" s="19">
        <f ca="1">$E$64</f>
        <v>1</v>
      </c>
      <c r="N64" s="19">
        <f ca="1">$E$64</f>
        <v>1</v>
      </c>
      <c r="O64" s="19">
        <f ca="1">$E$64</f>
        <v>1</v>
      </c>
      <c r="P64" s="19">
        <f ca="1">$E$64</f>
        <v>1</v>
      </c>
    </row>
    <row r="65" spans="1:16" x14ac:dyDescent="0.35">
      <c r="C65" s="9" t="s">
        <v>51</v>
      </c>
      <c r="D65" s="9" t="s">
        <v>56</v>
      </c>
      <c r="E65" s="32">
        <f ca="1">INDIRECT("Assumptions!"&amp;$D$58&amp;"14")</f>
        <v>0.92</v>
      </c>
      <c r="F65" s="19"/>
      <c r="G65" s="19">
        <f ca="1">$E$65</f>
        <v>0.92</v>
      </c>
      <c r="H65" s="19">
        <f ca="1">$E$65</f>
        <v>0.92</v>
      </c>
      <c r="I65" s="19">
        <f ca="1">$E$65</f>
        <v>0.92</v>
      </c>
      <c r="J65" s="19">
        <f ca="1">$E$65</f>
        <v>0.92</v>
      </c>
      <c r="K65" s="19">
        <f ca="1">$E$65</f>
        <v>0.92</v>
      </c>
      <c r="L65" s="19">
        <f ca="1">$E$65</f>
        <v>0.92</v>
      </c>
      <c r="M65" s="19">
        <f ca="1">$E$65</f>
        <v>0.92</v>
      </c>
      <c r="N65" s="19">
        <f ca="1">$E$65</f>
        <v>0.92</v>
      </c>
      <c r="O65" s="19">
        <f ca="1">$E$65</f>
        <v>0.92</v>
      </c>
      <c r="P65" s="19">
        <f ca="1">$E$65</f>
        <v>0.92</v>
      </c>
    </row>
    <row r="66" spans="1:16" x14ac:dyDescent="0.35">
      <c r="C66" s="9" t="s">
        <v>57</v>
      </c>
      <c r="D66" s="9" t="s">
        <v>54</v>
      </c>
      <c r="G66" s="16">
        <f ca="1">G63*G64</f>
        <v>160</v>
      </c>
      <c r="H66" s="16">
        <f ca="1">H63*H64</f>
        <v>160</v>
      </c>
      <c r="I66" s="16">
        <f ca="1">I63*I64</f>
        <v>160</v>
      </c>
      <c r="J66" s="16">
        <f ca="1">J63*J64</f>
        <v>160</v>
      </c>
      <c r="K66" s="16">
        <f ca="1">K63*K64</f>
        <v>160</v>
      </c>
      <c r="L66" s="16">
        <f ca="1">L63*L64</f>
        <v>160</v>
      </c>
      <c r="M66" s="16">
        <f ca="1">M63*M64</f>
        <v>160</v>
      </c>
      <c r="N66" s="16">
        <f ca="1">N63*N64</f>
        <v>160</v>
      </c>
      <c r="O66" s="16">
        <f ca="1">O63*O64</f>
        <v>160</v>
      </c>
      <c r="P66" s="16">
        <f ca="1">P63*P64</f>
        <v>160</v>
      </c>
    </row>
    <row r="67" spans="1:16" x14ac:dyDescent="0.35">
      <c r="C67" s="9" t="s">
        <v>145</v>
      </c>
      <c r="D67" s="9" t="s">
        <v>56</v>
      </c>
      <c r="G67" s="39">
        <f ca="1">G62/8760</f>
        <v>9.1324200913242004E-3</v>
      </c>
      <c r="H67" s="39">
        <f t="shared" ref="H67:P67" ca="1" si="0">H62/8760</f>
        <v>9.1324200913242004E-3</v>
      </c>
      <c r="I67" s="39">
        <f t="shared" ca="1" si="0"/>
        <v>9.1324200913242004E-3</v>
      </c>
      <c r="J67" s="39">
        <f t="shared" ca="1" si="0"/>
        <v>9.1324200913242004E-3</v>
      </c>
      <c r="K67" s="39">
        <f t="shared" ca="1" si="0"/>
        <v>9.1324200913242004E-3</v>
      </c>
      <c r="L67" s="39">
        <f t="shared" ca="1" si="0"/>
        <v>9.1324200913242004E-3</v>
      </c>
      <c r="M67" s="39">
        <f t="shared" ca="1" si="0"/>
        <v>9.1324200913242004E-3</v>
      </c>
      <c r="N67" s="39">
        <f t="shared" ca="1" si="0"/>
        <v>9.1324200913242004E-3</v>
      </c>
      <c r="O67" s="39">
        <f t="shared" ca="1" si="0"/>
        <v>9.1324200913242004E-3</v>
      </c>
      <c r="P67" s="39">
        <f t="shared" ca="1" si="0"/>
        <v>9.1324200913242004E-3</v>
      </c>
    </row>
    <row r="69" spans="1:16" s="34" customFormat="1" x14ac:dyDescent="0.35">
      <c r="A69" s="34" t="s">
        <v>120</v>
      </c>
    </row>
    <row r="70" spans="1:16" x14ac:dyDescent="0.35">
      <c r="B70" s="9" t="s">
        <v>117</v>
      </c>
    </row>
    <row r="71" spans="1:16" x14ac:dyDescent="0.35">
      <c r="C71" s="9" t="s">
        <v>142</v>
      </c>
      <c r="D71" s="9" t="s">
        <v>56</v>
      </c>
      <c r="E71" s="18">
        <f>-F39/F53</f>
        <v>0.3749998810034928</v>
      </c>
    </row>
    <row r="72" spans="1:16" x14ac:dyDescent="0.35">
      <c r="C72" s="9" t="s">
        <v>143</v>
      </c>
      <c r="D72" s="9" t="s">
        <v>62</v>
      </c>
      <c r="E72" s="20">
        <f>E73/(1-E71)</f>
        <v>739.19985926047775</v>
      </c>
    </row>
    <row r="73" spans="1:16" x14ac:dyDescent="0.35">
      <c r="C73" s="9" t="s">
        <v>59</v>
      </c>
      <c r="D73" s="9" t="s">
        <v>62</v>
      </c>
      <c r="E73" s="31">
        <v>462</v>
      </c>
      <c r="F73" s="18"/>
    </row>
    <row r="74" spans="1:16" x14ac:dyDescent="0.35">
      <c r="C74" s="9" t="s">
        <v>60</v>
      </c>
      <c r="D74" s="9" t="s">
        <v>62</v>
      </c>
      <c r="E74" s="31">
        <v>102</v>
      </c>
    </row>
    <row r="75" spans="1:16" ht="15" thickBot="1" x14ac:dyDescent="0.4">
      <c r="C75" s="21" t="s">
        <v>61</v>
      </c>
      <c r="D75" s="21" t="s">
        <v>62</v>
      </c>
      <c r="E75" s="22">
        <f>SUM(E73:E74)</f>
        <v>564</v>
      </c>
      <c r="F75" s="8"/>
    </row>
    <row r="77" spans="1:16" x14ac:dyDescent="0.35">
      <c r="C77" s="9" t="s">
        <v>69</v>
      </c>
      <c r="D77" s="9" t="s">
        <v>66</v>
      </c>
      <c r="E77" s="33">
        <f ca="1">INDIRECT("Assumptions!"&amp;$D$58&amp;"21")</f>
        <v>1</v>
      </c>
      <c r="F77" s="20"/>
    </row>
    <row r="78" spans="1:16" x14ac:dyDescent="0.35">
      <c r="C78" s="9" t="s">
        <v>71</v>
      </c>
      <c r="D78" s="9" t="s">
        <v>66</v>
      </c>
      <c r="E78" s="33">
        <f ca="1">INDIRECT("Assumptions!"&amp;$D$58&amp;"22")</f>
        <v>0.95</v>
      </c>
      <c r="F78" s="20"/>
    </row>
    <row r="80" spans="1:16" x14ac:dyDescent="0.35">
      <c r="C80" s="9" t="s">
        <v>59</v>
      </c>
      <c r="D80" s="9" t="s">
        <v>62</v>
      </c>
      <c r="E80" s="20">
        <f ca="1">E73*E77</f>
        <v>462</v>
      </c>
    </row>
    <row r="81" spans="2:6" x14ac:dyDescent="0.35">
      <c r="C81" s="9" t="s">
        <v>60</v>
      </c>
      <c r="D81" s="9" t="s">
        <v>62</v>
      </c>
      <c r="E81" s="20">
        <f ca="1">E74*E78</f>
        <v>96.899999999999991</v>
      </c>
    </row>
    <row r="82" spans="2:6" ht="15" thickBot="1" x14ac:dyDescent="0.4">
      <c r="C82" s="21" t="s">
        <v>61</v>
      </c>
      <c r="D82" s="21" t="s">
        <v>62</v>
      </c>
      <c r="E82" s="22">
        <f ca="1">SUM(E80:E81)</f>
        <v>558.9</v>
      </c>
    </row>
    <row r="84" spans="2:6" x14ac:dyDescent="0.35">
      <c r="C84" s="9" t="s">
        <v>118</v>
      </c>
      <c r="D84" s="9" t="s">
        <v>50</v>
      </c>
      <c r="E84" s="23">
        <f ca="1">E61</f>
        <v>2000</v>
      </c>
      <c r="F84" s="23"/>
    </row>
    <row r="85" spans="2:6" x14ac:dyDescent="0.35">
      <c r="C85" s="9" t="s">
        <v>144</v>
      </c>
      <c r="D85" s="9" t="s">
        <v>65</v>
      </c>
      <c r="E85" s="23">
        <f ca="1">E84*E82</f>
        <v>1117800</v>
      </c>
      <c r="F85" s="23"/>
    </row>
    <row r="87" spans="2:6" x14ac:dyDescent="0.35">
      <c r="C87" s="9" t="s">
        <v>67</v>
      </c>
      <c r="D87" s="9" t="s">
        <v>68</v>
      </c>
      <c r="E87" s="32">
        <f ca="1">INDIRECT("Assumptions!"&amp;$D$58&amp;"17")</f>
        <v>0.16</v>
      </c>
      <c r="F87" s="19"/>
    </row>
    <row r="88" spans="2:6" x14ac:dyDescent="0.35">
      <c r="C88" s="9" t="s">
        <v>64</v>
      </c>
      <c r="D88" s="9" t="s">
        <v>66</v>
      </c>
      <c r="E88" s="33">
        <f ca="1">INDIRECT("Assumptions!"&amp;$D$58&amp;"23")</f>
        <v>1.0900000000000001</v>
      </c>
    </row>
    <row r="89" spans="2:6" x14ac:dyDescent="0.35">
      <c r="C89" s="9" t="s">
        <v>70</v>
      </c>
      <c r="D89" s="9" t="s">
        <v>65</v>
      </c>
      <c r="E89" s="16">
        <f ca="1">E85*E87*E88</f>
        <v>194944.32</v>
      </c>
      <c r="F89" s="23"/>
    </row>
    <row r="91" spans="2:6" ht="15" thickBot="1" x14ac:dyDescent="0.4">
      <c r="C91" s="21" t="s">
        <v>72</v>
      </c>
      <c r="D91" s="21" t="s">
        <v>65</v>
      </c>
      <c r="E91" s="24">
        <f ca="1">E89+E85</f>
        <v>1312744.32</v>
      </c>
      <c r="F91" s="25"/>
    </row>
    <row r="92" spans="2:6" x14ac:dyDescent="0.35">
      <c r="C92" s="8"/>
      <c r="D92" s="8"/>
      <c r="E92" s="25"/>
      <c r="F92" s="25"/>
    </row>
    <row r="93" spans="2:6" x14ac:dyDescent="0.35">
      <c r="C93" s="9" t="s">
        <v>115</v>
      </c>
      <c r="D93" s="8" t="s">
        <v>47</v>
      </c>
      <c r="E93" s="14">
        <f ca="1">E59</f>
        <v>1000</v>
      </c>
      <c r="F93" s="25"/>
    </row>
    <row r="94" spans="2:6" x14ac:dyDescent="0.35">
      <c r="C94" s="8" t="s">
        <v>98</v>
      </c>
      <c r="D94" s="8" t="s">
        <v>99</v>
      </c>
      <c r="E94" s="20">
        <f ca="1">E91/E93</f>
        <v>1312.74432</v>
      </c>
      <c r="F94" s="25"/>
    </row>
    <row r="95" spans="2:6" x14ac:dyDescent="0.35">
      <c r="F95" s="25"/>
    </row>
    <row r="96" spans="2:6" x14ac:dyDescent="0.35">
      <c r="B96" s="9" t="s">
        <v>116</v>
      </c>
    </row>
    <row r="97" spans="1:6" x14ac:dyDescent="0.35">
      <c r="C97" s="8" t="s">
        <v>90</v>
      </c>
      <c r="D97" s="8" t="s">
        <v>65</v>
      </c>
      <c r="E97" s="25">
        <f>-F53</f>
        <v>1050451</v>
      </c>
    </row>
    <row r="98" spans="1:6" x14ac:dyDescent="0.35">
      <c r="C98" s="8"/>
      <c r="D98" s="8"/>
      <c r="E98" s="25"/>
    </row>
    <row r="99" spans="1:6" x14ac:dyDescent="0.35">
      <c r="C99" s="8" t="s">
        <v>93</v>
      </c>
      <c r="D99" s="8" t="s">
        <v>65</v>
      </c>
      <c r="E99" s="25">
        <f>-I42</f>
        <v>21849</v>
      </c>
    </row>
    <row r="100" spans="1:6" x14ac:dyDescent="0.35">
      <c r="C100" s="8" t="s">
        <v>94</v>
      </c>
      <c r="D100" s="8" t="s">
        <v>56</v>
      </c>
      <c r="E100" s="32">
        <f ca="1">INDIRECT("Assumptions!"&amp;$D$58&amp;"16")</f>
        <v>0.02</v>
      </c>
    </row>
    <row r="101" spans="1:6" x14ac:dyDescent="0.35">
      <c r="C101" s="8" t="s">
        <v>102</v>
      </c>
      <c r="D101" s="8" t="s">
        <v>65</v>
      </c>
      <c r="E101" s="25">
        <f ca="1">E99/E100</f>
        <v>1092450</v>
      </c>
    </row>
    <row r="102" spans="1:6" x14ac:dyDescent="0.35">
      <c r="C102" s="8" t="s">
        <v>103</v>
      </c>
      <c r="D102" s="8" t="s">
        <v>65</v>
      </c>
      <c r="E102" s="25">
        <f ca="1">E91</f>
        <v>1312744.32</v>
      </c>
    </row>
    <row r="103" spans="1:6" x14ac:dyDescent="0.35">
      <c r="C103" s="8"/>
      <c r="D103" s="8"/>
      <c r="E103" s="25"/>
    </row>
    <row r="104" spans="1:6" x14ac:dyDescent="0.35">
      <c r="C104" s="8" t="s">
        <v>100</v>
      </c>
      <c r="D104" s="8" t="s">
        <v>65</v>
      </c>
      <c r="E104" s="25">
        <f ca="1">E101-E97</f>
        <v>41999</v>
      </c>
    </row>
    <row r="105" spans="1:6" x14ac:dyDescent="0.35">
      <c r="C105" s="8" t="s">
        <v>101</v>
      </c>
      <c r="D105" s="8" t="s">
        <v>56</v>
      </c>
      <c r="E105" s="26">
        <f ca="1">E104/E101</f>
        <v>3.8444780081468261E-2</v>
      </c>
    </row>
    <row r="106" spans="1:6" x14ac:dyDescent="0.35">
      <c r="F106" s="25"/>
    </row>
    <row r="107" spans="1:6" s="34" customFormat="1" x14ac:dyDescent="0.35">
      <c r="A107" s="34" t="s">
        <v>121</v>
      </c>
      <c r="F107" s="36"/>
    </row>
    <row r="108" spans="1:6" x14ac:dyDescent="0.35">
      <c r="B108" s="9" t="s">
        <v>73</v>
      </c>
    </row>
    <row r="109" spans="1:6" x14ac:dyDescent="0.35">
      <c r="C109" s="9" t="s">
        <v>74</v>
      </c>
      <c r="D109" s="9" t="s">
        <v>56</v>
      </c>
      <c r="E109" s="32">
        <f>Assumptions!E3</f>
        <v>2.5000000000000001E-2</v>
      </c>
      <c r="F109" s="18"/>
    </row>
    <row r="110" spans="1:6" x14ac:dyDescent="0.35">
      <c r="C110" s="9" t="s">
        <v>75</v>
      </c>
      <c r="D110" s="9" t="s">
        <v>76</v>
      </c>
      <c r="E110" s="31">
        <v>220</v>
      </c>
      <c r="F110" s="20"/>
    </row>
    <row r="111" spans="1:6" x14ac:dyDescent="0.35">
      <c r="C111" s="9" t="s">
        <v>77</v>
      </c>
      <c r="D111" s="9" t="s">
        <v>78</v>
      </c>
      <c r="E111" s="20">
        <f>O30</f>
        <v>5.0274999999999999</v>
      </c>
      <c r="F111" s="20"/>
    </row>
    <row r="113" spans="1:16" x14ac:dyDescent="0.35">
      <c r="B113" s="9" t="s">
        <v>79</v>
      </c>
    </row>
    <row r="114" spans="1:16" x14ac:dyDescent="0.35">
      <c r="C114" s="9" t="s">
        <v>80</v>
      </c>
      <c r="D114" s="9" t="s">
        <v>56</v>
      </c>
      <c r="E114" s="32">
        <f>Assumptions!E4</f>
        <v>2.2499999999999999E-2</v>
      </c>
      <c r="F114" s="18"/>
    </row>
    <row r="115" spans="1:16" x14ac:dyDescent="0.35">
      <c r="C115" s="9" t="s">
        <v>81</v>
      </c>
      <c r="D115" s="9" t="s">
        <v>56</v>
      </c>
      <c r="E115" s="32">
        <f>Assumptions!E5</f>
        <v>2.5000000000000001E-2</v>
      </c>
      <c r="F115" s="18"/>
    </row>
    <row r="116" spans="1:16" x14ac:dyDescent="0.35">
      <c r="C116" s="9" t="s">
        <v>82</v>
      </c>
      <c r="D116" s="9" t="s">
        <v>78</v>
      </c>
      <c r="E116" s="31">
        <v>61</v>
      </c>
      <c r="F116" s="20"/>
    </row>
    <row r="117" spans="1:16" x14ac:dyDescent="0.35">
      <c r="C117" s="9" t="s">
        <v>83</v>
      </c>
      <c r="D117" s="9" t="s">
        <v>56</v>
      </c>
      <c r="E117" s="32">
        <f ca="1">INDIRECT("Assumptions!"&amp;$D$58&amp;"18")</f>
        <v>1.6E-2</v>
      </c>
      <c r="F117" s="18"/>
    </row>
    <row r="118" spans="1:16" x14ac:dyDescent="0.35">
      <c r="C118" s="9" t="s">
        <v>84</v>
      </c>
      <c r="D118" s="9" t="s">
        <v>56</v>
      </c>
      <c r="E118" s="18">
        <f ca="1">E100</f>
        <v>0.02</v>
      </c>
      <c r="F118" s="18"/>
    </row>
    <row r="120" spans="1:16" x14ac:dyDescent="0.35">
      <c r="B120" s="9" t="s">
        <v>85</v>
      </c>
    </row>
    <row r="121" spans="1:16" x14ac:dyDescent="0.35">
      <c r="C121" s="9" t="s">
        <v>74</v>
      </c>
      <c r="G121" s="33">
        <f>Assumptions!G29</f>
        <v>1</v>
      </c>
      <c r="H121" s="33">
        <f>Assumptions!H29</f>
        <v>1.0249999999999999</v>
      </c>
      <c r="I121" s="33">
        <f>Assumptions!I29</f>
        <v>1.0506249999999999</v>
      </c>
      <c r="J121" s="33">
        <f>Assumptions!J29</f>
        <v>1.0768906249999999</v>
      </c>
      <c r="K121" s="33">
        <f>Assumptions!K29</f>
        <v>1.1038128906249998</v>
      </c>
      <c r="L121" s="33">
        <f>Assumptions!L29</f>
        <v>1.1314082128906247</v>
      </c>
      <c r="M121" s="33">
        <f>Assumptions!M29</f>
        <v>1.1596934182128902</v>
      </c>
      <c r="N121" s="33">
        <f>Assumptions!N29</f>
        <v>1.1886857536682123</v>
      </c>
      <c r="O121" s="33">
        <f>Assumptions!O29</f>
        <v>1.2184028975099175</v>
      </c>
      <c r="P121" s="33">
        <f>Assumptions!P29</f>
        <v>1.2488629699476652</v>
      </c>
    </row>
    <row r="122" spans="1:16" x14ac:dyDescent="0.35">
      <c r="C122" s="9" t="s">
        <v>79</v>
      </c>
      <c r="G122" s="33">
        <f>Assumptions!G30</f>
        <v>1</v>
      </c>
      <c r="H122" s="33">
        <f>Assumptions!H30</f>
        <v>1.0225</v>
      </c>
      <c r="I122" s="33">
        <f>Assumptions!I30</f>
        <v>1.0455062499999999</v>
      </c>
      <c r="J122" s="33">
        <f>Assumptions!J30</f>
        <v>1.0690301406249998</v>
      </c>
      <c r="K122" s="33">
        <f>Assumptions!K30</f>
        <v>1.0930833187890623</v>
      </c>
      <c r="L122" s="33">
        <f>Assumptions!L30</f>
        <v>1.1176776934618162</v>
      </c>
      <c r="M122" s="33">
        <f>Assumptions!M30</f>
        <v>1.142825441564707</v>
      </c>
      <c r="N122" s="33">
        <f>Assumptions!N30</f>
        <v>1.1685390139999128</v>
      </c>
      <c r="O122" s="33">
        <f>Assumptions!O30</f>
        <v>1.1948311418149107</v>
      </c>
      <c r="P122" s="33">
        <f>Assumptions!P30</f>
        <v>1.221714842505746</v>
      </c>
    </row>
    <row r="123" spans="1:16" x14ac:dyDescent="0.35">
      <c r="C123" s="9" t="s">
        <v>82</v>
      </c>
      <c r="G123" s="33">
        <f>Assumptions!G31</f>
        <v>1</v>
      </c>
      <c r="H123" s="33">
        <f>Assumptions!H31</f>
        <v>1.0249999999999999</v>
      </c>
      <c r="I123" s="33">
        <f>Assumptions!I31</f>
        <v>1.0506249999999999</v>
      </c>
      <c r="J123" s="33">
        <f>Assumptions!J31</f>
        <v>1.0768906249999999</v>
      </c>
      <c r="K123" s="33">
        <f>Assumptions!K31</f>
        <v>1.1038128906249998</v>
      </c>
      <c r="L123" s="33">
        <f>Assumptions!L31</f>
        <v>1.1314082128906247</v>
      </c>
      <c r="M123" s="33">
        <f>Assumptions!M31</f>
        <v>1.1596934182128902</v>
      </c>
      <c r="N123" s="33">
        <f>Assumptions!N31</f>
        <v>1.1886857536682123</v>
      </c>
      <c r="O123" s="33">
        <f>Assumptions!O31</f>
        <v>1.2184028975099175</v>
      </c>
      <c r="P123" s="33">
        <f>Assumptions!P31</f>
        <v>1.2488629699476652</v>
      </c>
    </row>
    <row r="125" spans="1:16" x14ac:dyDescent="0.35">
      <c r="C125" s="9" t="s">
        <v>86</v>
      </c>
      <c r="D125" s="9" t="s">
        <v>87</v>
      </c>
      <c r="E125" s="20">
        <f>E110</f>
        <v>220</v>
      </c>
      <c r="F125" s="20"/>
      <c r="G125" s="20">
        <f>$E125*G121</f>
        <v>220</v>
      </c>
      <c r="H125" s="20">
        <f t="shared" ref="H125:P125" si="1">$E125*H121</f>
        <v>225.49999999999997</v>
      </c>
      <c r="I125" s="20">
        <f t="shared" si="1"/>
        <v>231.13749999999999</v>
      </c>
      <c r="J125" s="20">
        <f t="shared" si="1"/>
        <v>236.91593749999998</v>
      </c>
      <c r="K125" s="20">
        <f t="shared" si="1"/>
        <v>242.83883593749994</v>
      </c>
      <c r="L125" s="20">
        <f t="shared" si="1"/>
        <v>248.90980683593742</v>
      </c>
      <c r="M125" s="20">
        <f t="shared" si="1"/>
        <v>255.13255200683585</v>
      </c>
      <c r="N125" s="20">
        <f t="shared" si="1"/>
        <v>261.51086580700672</v>
      </c>
      <c r="O125" s="20">
        <f t="shared" si="1"/>
        <v>268.04863745218182</v>
      </c>
      <c r="P125" s="20">
        <f t="shared" si="1"/>
        <v>274.74985338848637</v>
      </c>
    </row>
    <row r="126" spans="1:16" x14ac:dyDescent="0.35">
      <c r="C126" s="9" t="s">
        <v>126</v>
      </c>
      <c r="D126" s="9" t="s">
        <v>88</v>
      </c>
      <c r="E126" s="20">
        <f>E111</f>
        <v>5.0274999999999999</v>
      </c>
      <c r="F126" s="20"/>
      <c r="G126" s="20">
        <f>$E126*G121</f>
        <v>5.0274999999999999</v>
      </c>
      <c r="H126" s="20">
        <f t="shared" ref="H126:P126" si="2">$E126*H121</f>
        <v>5.1531874999999996</v>
      </c>
      <c r="I126" s="20">
        <f t="shared" si="2"/>
        <v>5.2820171874999993</v>
      </c>
      <c r="J126" s="20">
        <f t="shared" si="2"/>
        <v>5.4140676171874995</v>
      </c>
      <c r="K126" s="20">
        <f t="shared" si="2"/>
        <v>5.5494193076171863</v>
      </c>
      <c r="L126" s="20">
        <f t="shared" si="2"/>
        <v>5.6881547903076157</v>
      </c>
      <c r="M126" s="20">
        <f t="shared" si="2"/>
        <v>5.830358660065305</v>
      </c>
      <c r="N126" s="20">
        <f t="shared" si="2"/>
        <v>5.9761176265669373</v>
      </c>
      <c r="O126" s="20">
        <f t="shared" si="2"/>
        <v>6.1255205672311099</v>
      </c>
      <c r="P126" s="20">
        <f t="shared" si="2"/>
        <v>6.2786585814118867</v>
      </c>
    </row>
    <row r="128" spans="1:16" s="34" customFormat="1" x14ac:dyDescent="0.35">
      <c r="A128" s="34" t="s">
        <v>123</v>
      </c>
      <c r="C128" s="35"/>
      <c r="D128" s="35"/>
      <c r="E128" s="36"/>
    </row>
    <row r="129" spans="3:16" x14ac:dyDescent="0.35">
      <c r="C129" s="8" t="s">
        <v>80</v>
      </c>
      <c r="D129" s="8" t="s">
        <v>56</v>
      </c>
      <c r="E129" s="26">
        <f ca="1">E117</f>
        <v>1.6E-2</v>
      </c>
      <c r="G129" s="18">
        <f ca="1">$E129</f>
        <v>1.6E-2</v>
      </c>
      <c r="H129" s="18">
        <f t="shared" ref="H129:P129" ca="1" si="3">$E129</f>
        <v>1.6E-2</v>
      </c>
      <c r="I129" s="18">
        <f t="shared" ca="1" si="3"/>
        <v>1.6E-2</v>
      </c>
      <c r="J129" s="18">
        <f t="shared" ca="1" si="3"/>
        <v>1.6E-2</v>
      </c>
      <c r="K129" s="18">
        <f t="shared" ca="1" si="3"/>
        <v>1.6E-2</v>
      </c>
      <c r="L129" s="18">
        <f t="shared" ca="1" si="3"/>
        <v>1.6E-2</v>
      </c>
      <c r="M129" s="18">
        <f t="shared" ca="1" si="3"/>
        <v>1.6E-2</v>
      </c>
      <c r="N129" s="18">
        <f t="shared" ca="1" si="3"/>
        <v>1.6E-2</v>
      </c>
      <c r="O129" s="18">
        <f t="shared" ca="1" si="3"/>
        <v>1.6E-2</v>
      </c>
      <c r="P129" s="18">
        <f t="shared" ca="1" si="3"/>
        <v>1.6E-2</v>
      </c>
    </row>
    <row r="130" spans="3:16" x14ac:dyDescent="0.35">
      <c r="C130" s="8" t="s">
        <v>96</v>
      </c>
      <c r="D130" s="8" t="s">
        <v>65</v>
      </c>
      <c r="E130" s="25"/>
      <c r="G130" s="20">
        <f>-G42</f>
        <v>20898</v>
      </c>
      <c r="H130" s="20">
        <f t="shared" ref="H130:P130" si="4">-H42</f>
        <v>21369</v>
      </c>
      <c r="I130" s="20">
        <f t="shared" si="4"/>
        <v>21849</v>
      </c>
      <c r="J130" s="20">
        <f t="shared" si="4"/>
        <v>22341</v>
      </c>
      <c r="K130" s="20">
        <f t="shared" si="4"/>
        <v>22844</v>
      </c>
      <c r="L130" s="20">
        <f t="shared" si="4"/>
        <v>23358</v>
      </c>
      <c r="M130" s="20">
        <f t="shared" si="4"/>
        <v>23883</v>
      </c>
      <c r="N130" s="20">
        <f t="shared" si="4"/>
        <v>24421</v>
      </c>
      <c r="O130" s="20">
        <f t="shared" si="4"/>
        <v>24970</v>
      </c>
      <c r="P130" s="20">
        <f t="shared" si="4"/>
        <v>25532</v>
      </c>
    </row>
    <row r="131" spans="3:16" x14ac:dyDescent="0.35">
      <c r="C131" s="8" t="s">
        <v>95</v>
      </c>
      <c r="D131" s="8" t="s">
        <v>65</v>
      </c>
      <c r="E131" s="25">
        <f ca="1">E102</f>
        <v>1312744.32</v>
      </c>
      <c r="G131" s="20">
        <f ca="1">$E131*G129</f>
        <v>21003.90912</v>
      </c>
      <c r="H131" s="20">
        <f ca="1">$E$131*H129</f>
        <v>21003.90912</v>
      </c>
      <c r="I131" s="20">
        <f ca="1">$E$131*I129</f>
        <v>21003.90912</v>
      </c>
      <c r="J131" s="20">
        <f ca="1">$E$131*J129</f>
        <v>21003.90912</v>
      </c>
      <c r="K131" s="20">
        <f ca="1">$E$131*K129</f>
        <v>21003.90912</v>
      </c>
      <c r="L131" s="20">
        <f ca="1">$E$131*L129</f>
        <v>21003.90912</v>
      </c>
      <c r="M131" s="20">
        <f ca="1">$E$131*M129</f>
        <v>21003.90912</v>
      </c>
      <c r="N131" s="20">
        <f ca="1">$E$131*N129</f>
        <v>21003.90912</v>
      </c>
      <c r="O131" s="20">
        <f ca="1">$E$131*O129</f>
        <v>21003.90912</v>
      </c>
      <c r="P131" s="20">
        <f ca="1">$E$131*P129</f>
        <v>21003.90912</v>
      </c>
    </row>
    <row r="132" spans="3:16" x14ac:dyDescent="0.35">
      <c r="C132" s="8" t="s">
        <v>125</v>
      </c>
      <c r="D132" s="8" t="s">
        <v>65</v>
      </c>
      <c r="E132" s="25"/>
      <c r="G132" s="20">
        <f ca="1">G131*G122</f>
        <v>21003.90912</v>
      </c>
      <c r="H132" s="20">
        <f t="shared" ref="H132:P132" ca="1" si="5">H131*H122</f>
        <v>21476.497075200001</v>
      </c>
      <c r="I132" s="20">
        <f t="shared" ca="1" si="5"/>
        <v>21959.718259391997</v>
      </c>
      <c r="J132" s="20">
        <f t="shared" ca="1" si="5"/>
        <v>22453.811920228316</v>
      </c>
      <c r="K132" s="20">
        <f t="shared" ca="1" si="5"/>
        <v>22959.022688433452</v>
      </c>
      <c r="L132" s="20">
        <f t="shared" ca="1" si="5"/>
        <v>23475.600698923208</v>
      </c>
      <c r="M132" s="20">
        <f t="shared" ca="1" si="5"/>
        <v>24003.801714648976</v>
      </c>
      <c r="N132" s="20">
        <f t="shared" ca="1" si="5"/>
        <v>24543.887253228575</v>
      </c>
      <c r="O132" s="20">
        <f t="shared" ca="1" si="5"/>
        <v>25096.124716426217</v>
      </c>
      <c r="P132" s="20">
        <f t="shared" ca="1" si="5"/>
        <v>25660.787522545805</v>
      </c>
    </row>
    <row r="133" spans="3:16" x14ac:dyDescent="0.35">
      <c r="C133" s="8" t="s">
        <v>124</v>
      </c>
      <c r="D133" s="8" t="s">
        <v>65</v>
      </c>
      <c r="E133" s="25"/>
      <c r="G133" s="20">
        <f ca="1">G132-G130</f>
        <v>105.90912000000026</v>
      </c>
      <c r="H133" s="20">
        <f t="shared" ref="H133:P133" ca="1" si="6">H132-H130</f>
        <v>107.49707520000084</v>
      </c>
      <c r="I133" s="20">
        <f t="shared" ca="1" si="6"/>
        <v>110.71825939199698</v>
      </c>
      <c r="J133" s="20">
        <f t="shared" ca="1" si="6"/>
        <v>112.81192022831601</v>
      </c>
      <c r="K133" s="20">
        <f t="shared" ca="1" si="6"/>
        <v>115.02268843345155</v>
      </c>
      <c r="L133" s="20">
        <f t="shared" ca="1" si="6"/>
        <v>117.60069892320826</v>
      </c>
      <c r="M133" s="20">
        <f t="shared" ca="1" si="6"/>
        <v>120.80171464897649</v>
      </c>
      <c r="N133" s="20">
        <f t="shared" ca="1" si="6"/>
        <v>122.88725322857499</v>
      </c>
      <c r="O133" s="20">
        <f t="shared" ca="1" si="6"/>
        <v>126.12471642621676</v>
      </c>
      <c r="P133" s="20">
        <f t="shared" ca="1" si="6"/>
        <v>128.78752254580468</v>
      </c>
    </row>
    <row r="134" spans="3:16" x14ac:dyDescent="0.35">
      <c r="C134" s="8" t="s">
        <v>101</v>
      </c>
      <c r="D134" s="8"/>
      <c r="E134" s="25"/>
      <c r="G134" s="18">
        <f ca="1">G133/G131</f>
        <v>5.0423528018007464E-3</v>
      </c>
      <c r="H134" s="18">
        <f t="shared" ref="H134:P134" ca="1" si="7">H133/H131</f>
        <v>5.1179556427256544E-3</v>
      </c>
      <c r="I134" s="18">
        <f t="shared" ca="1" si="7"/>
        <v>5.2713168181903166E-3</v>
      </c>
      <c r="J134" s="18">
        <f t="shared" ca="1" si="7"/>
        <v>5.3709963980417379E-3</v>
      </c>
      <c r="K134" s="18">
        <f t="shared" ca="1" si="7"/>
        <v>5.4762514813933624E-3</v>
      </c>
      <c r="L134" s="18">
        <f t="shared" ca="1" si="7"/>
        <v>5.5989910378743939E-3</v>
      </c>
      <c r="M134" s="18">
        <f t="shared" ca="1" si="7"/>
        <v>5.7513919889297486E-3</v>
      </c>
      <c r="N134" s="18">
        <f t="shared" ca="1" si="7"/>
        <v>5.850684866635673E-3</v>
      </c>
      <c r="O134" s="18">
        <f t="shared" ca="1" si="7"/>
        <v>6.0048210885715715E-3</v>
      </c>
      <c r="P134" s="18">
        <f t="shared" ca="1" si="7"/>
        <v>6.1315977806803935E-3</v>
      </c>
    </row>
    <row r="135" spans="3:16" x14ac:dyDescent="0.35">
      <c r="C135" s="8"/>
      <c r="D135" s="8"/>
      <c r="E135" s="26"/>
      <c r="G135" s="18"/>
      <c r="H135" s="18"/>
      <c r="I135" s="18"/>
      <c r="J135" s="18"/>
      <c r="K135" s="18"/>
      <c r="L135" s="18"/>
      <c r="M135" s="18"/>
      <c r="N135" s="18"/>
      <c r="O135" s="18"/>
      <c r="P135" s="18"/>
    </row>
    <row r="136" spans="3:16" x14ac:dyDescent="0.35">
      <c r="C136" s="9" t="s">
        <v>127</v>
      </c>
      <c r="D136" s="9" t="s">
        <v>65</v>
      </c>
      <c r="E136" s="23">
        <f>-G43</f>
        <v>0</v>
      </c>
      <c r="F136" s="20"/>
      <c r="G136" s="20">
        <f>-G44</f>
        <v>10980</v>
      </c>
      <c r="H136" s="20">
        <f t="shared" ref="H136:P136" si="8">-H44</f>
        <v>11252</v>
      </c>
      <c r="I136" s="20">
        <f t="shared" si="8"/>
        <v>11531</v>
      </c>
      <c r="J136" s="20">
        <f t="shared" si="8"/>
        <v>11817</v>
      </c>
      <c r="K136" s="20">
        <f t="shared" si="8"/>
        <v>12110</v>
      </c>
      <c r="L136" s="20">
        <f t="shared" si="8"/>
        <v>12411</v>
      </c>
      <c r="M136" s="20">
        <f t="shared" si="8"/>
        <v>12718</v>
      </c>
      <c r="N136" s="20">
        <f t="shared" si="8"/>
        <v>13034</v>
      </c>
      <c r="O136" s="20">
        <f t="shared" si="8"/>
        <v>13357</v>
      </c>
      <c r="P136" s="20">
        <f t="shared" si="8"/>
        <v>13688</v>
      </c>
    </row>
    <row r="137" spans="3:16" x14ac:dyDescent="0.35">
      <c r="C137" s="9" t="s">
        <v>91</v>
      </c>
      <c r="D137" s="9" t="s">
        <v>65</v>
      </c>
      <c r="E137" s="20">
        <f>E116</f>
        <v>61</v>
      </c>
      <c r="F137" s="20"/>
      <c r="G137" s="20">
        <f>$E137*G123</f>
        <v>61</v>
      </c>
      <c r="H137" s="20">
        <f t="shared" ref="H137:P137" si="9">$E137*H123</f>
        <v>62.524999999999991</v>
      </c>
      <c r="I137" s="20">
        <f t="shared" si="9"/>
        <v>64.088124999999991</v>
      </c>
      <c r="J137" s="20">
        <f t="shared" si="9"/>
        <v>65.690328124999994</v>
      </c>
      <c r="K137" s="20">
        <f t="shared" si="9"/>
        <v>67.332586328124989</v>
      </c>
      <c r="L137" s="20">
        <f t="shared" si="9"/>
        <v>69.015900986328106</v>
      </c>
      <c r="M137" s="20">
        <f t="shared" si="9"/>
        <v>70.741298510986297</v>
      </c>
      <c r="N137" s="20">
        <f t="shared" si="9"/>
        <v>72.509830973760955</v>
      </c>
      <c r="O137" s="20">
        <f t="shared" si="9"/>
        <v>74.322576748104964</v>
      </c>
      <c r="P137" s="20">
        <f t="shared" si="9"/>
        <v>76.180641166807575</v>
      </c>
    </row>
    <row r="138" spans="3:16" x14ac:dyDescent="0.35">
      <c r="C138" s="9" t="s">
        <v>128</v>
      </c>
      <c r="D138" s="9" t="s">
        <v>54</v>
      </c>
      <c r="G138" s="20">
        <f>G136/G137</f>
        <v>180</v>
      </c>
      <c r="H138" s="20">
        <f t="shared" ref="H138:P138" si="10">H136/H137</f>
        <v>179.96001599360258</v>
      </c>
      <c r="I138" s="20">
        <f t="shared" si="10"/>
        <v>179.92412790981172</v>
      </c>
      <c r="J138" s="20">
        <f t="shared" si="10"/>
        <v>179.88949571866675</v>
      </c>
      <c r="K138" s="20">
        <f t="shared" si="10"/>
        <v>179.85348046762348</v>
      </c>
      <c r="L138" s="20">
        <f t="shared" si="10"/>
        <v>179.82812399215931</v>
      </c>
      <c r="M138" s="20">
        <f t="shared" si="10"/>
        <v>179.7818285456672</v>
      </c>
      <c r="N138" s="20">
        <f t="shared" si="10"/>
        <v>179.75493564061125</v>
      </c>
      <c r="O138" s="20">
        <f t="shared" si="10"/>
        <v>179.71658928443395</v>
      </c>
      <c r="P138" s="20">
        <f t="shared" si="10"/>
        <v>179.67819370315243</v>
      </c>
    </row>
    <row r="139" spans="3:16" x14ac:dyDescent="0.35"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3:16" x14ac:dyDescent="0.35">
      <c r="C140" s="9" t="s">
        <v>51</v>
      </c>
      <c r="D140" s="9" t="s">
        <v>56</v>
      </c>
      <c r="E140" s="19">
        <f ca="1">E65</f>
        <v>0.92</v>
      </c>
      <c r="G140" s="19">
        <f ca="1">$E140</f>
        <v>0.92</v>
      </c>
      <c r="H140" s="19">
        <f t="shared" ref="H140:P140" ca="1" si="11">$E140</f>
        <v>0.92</v>
      </c>
      <c r="I140" s="19">
        <f t="shared" ca="1" si="11"/>
        <v>0.92</v>
      </c>
      <c r="J140" s="19">
        <f t="shared" ca="1" si="11"/>
        <v>0.92</v>
      </c>
      <c r="K140" s="19">
        <f t="shared" ca="1" si="11"/>
        <v>0.92</v>
      </c>
      <c r="L140" s="19">
        <f t="shared" ca="1" si="11"/>
        <v>0.92</v>
      </c>
      <c r="M140" s="19">
        <f t="shared" ca="1" si="11"/>
        <v>0.92</v>
      </c>
      <c r="N140" s="19">
        <f t="shared" ca="1" si="11"/>
        <v>0.92</v>
      </c>
      <c r="O140" s="19">
        <f t="shared" ca="1" si="11"/>
        <v>0.92</v>
      </c>
      <c r="P140" s="19">
        <f t="shared" ca="1" si="11"/>
        <v>0.92</v>
      </c>
    </row>
    <row r="141" spans="3:16" x14ac:dyDescent="0.35">
      <c r="C141" s="9" t="s">
        <v>92</v>
      </c>
      <c r="D141" s="9" t="s">
        <v>54</v>
      </c>
      <c r="E141" s="19"/>
      <c r="G141" s="20">
        <f ca="1">G140*G138</f>
        <v>165.6</v>
      </c>
      <c r="H141" s="20">
        <f t="shared" ref="H141:P141" ca="1" si="12">H140*H138</f>
        <v>165.56321471411439</v>
      </c>
      <c r="I141" s="20">
        <f t="shared" ca="1" si="12"/>
        <v>165.53019767702679</v>
      </c>
      <c r="J141" s="20">
        <f t="shared" ca="1" si="12"/>
        <v>165.4983360611734</v>
      </c>
      <c r="K141" s="20">
        <f t="shared" ca="1" si="12"/>
        <v>165.46520203021362</v>
      </c>
      <c r="L141" s="20">
        <f t="shared" ca="1" si="12"/>
        <v>165.44187407278656</v>
      </c>
      <c r="M141" s="20">
        <f t="shared" ca="1" si="12"/>
        <v>165.39928226201383</v>
      </c>
      <c r="N141" s="20">
        <f t="shared" ca="1" si="12"/>
        <v>165.37454078936236</v>
      </c>
      <c r="O141" s="20">
        <f t="shared" ca="1" si="12"/>
        <v>165.33926214167923</v>
      </c>
      <c r="P141" s="20">
        <f t="shared" ca="1" si="12"/>
        <v>165.30393820690026</v>
      </c>
    </row>
    <row r="142" spans="3:16" x14ac:dyDescent="0.35">
      <c r="C142" s="9" t="s">
        <v>105</v>
      </c>
      <c r="E142" s="19"/>
      <c r="G142" s="20"/>
      <c r="H142" s="18">
        <f ca="1">H141/G141-1</f>
        <v>-2.2213336887444424E-4</v>
      </c>
      <c r="I142" s="18">
        <f t="shared" ref="I142:P142" ca="1" si="13">I141/H141-1</f>
        <v>-1.9942254168359153E-4</v>
      </c>
      <c r="J142" s="18">
        <f t="shared" ca="1" si="13"/>
        <v>-1.9248219539713673E-4</v>
      </c>
      <c r="K142" s="18">
        <f t="shared" ca="1" si="13"/>
        <v>-2.0020763802441888E-4</v>
      </c>
      <c r="L142" s="18">
        <f t="shared" ca="1" si="13"/>
        <v>-1.4098406880014291E-4</v>
      </c>
      <c r="M142" s="18">
        <f t="shared" ca="1" si="13"/>
        <v>-2.5744274846639659E-4</v>
      </c>
      <c r="N142" s="18">
        <f t="shared" ca="1" si="13"/>
        <v>-1.4958633624706508E-4</v>
      </c>
      <c r="O142" s="18">
        <f t="shared" ca="1" si="13"/>
        <v>-2.1332574841770313E-4</v>
      </c>
      <c r="P142" s="18">
        <f t="shared" ca="1" si="13"/>
        <v>-2.1364517006672301E-4</v>
      </c>
    </row>
    <row r="143" spans="3:16" x14ac:dyDescent="0.35">
      <c r="C143" s="9" t="s">
        <v>147</v>
      </c>
      <c r="D143" s="9" t="s">
        <v>54</v>
      </c>
      <c r="E143" s="19"/>
      <c r="G143" s="20">
        <f ca="1">G63</f>
        <v>160</v>
      </c>
      <c r="H143" s="20">
        <f t="shared" ref="H143:P143" ca="1" si="14">H63</f>
        <v>160</v>
      </c>
      <c r="I143" s="20">
        <f t="shared" ca="1" si="14"/>
        <v>160</v>
      </c>
      <c r="J143" s="20">
        <f t="shared" ca="1" si="14"/>
        <v>160</v>
      </c>
      <c r="K143" s="20">
        <f t="shared" ca="1" si="14"/>
        <v>160</v>
      </c>
      <c r="L143" s="20">
        <f t="shared" ca="1" si="14"/>
        <v>160</v>
      </c>
      <c r="M143" s="20">
        <f t="shared" ca="1" si="14"/>
        <v>160</v>
      </c>
      <c r="N143" s="20">
        <f t="shared" ca="1" si="14"/>
        <v>160</v>
      </c>
      <c r="O143" s="20">
        <f t="shared" ca="1" si="14"/>
        <v>160</v>
      </c>
      <c r="P143" s="20">
        <f t="shared" ca="1" si="14"/>
        <v>160</v>
      </c>
    </row>
    <row r="145" spans="1:16" s="34" customFormat="1" x14ac:dyDescent="0.35">
      <c r="A145" s="34" t="s">
        <v>129</v>
      </c>
    </row>
    <row r="146" spans="1:16" x14ac:dyDescent="0.35">
      <c r="C146" s="9" t="s">
        <v>97</v>
      </c>
      <c r="D146" s="9" t="s">
        <v>131</v>
      </c>
      <c r="G146" s="23">
        <f>G38</f>
        <v>1731</v>
      </c>
      <c r="H146" s="23">
        <f t="shared" ref="H146:P146" si="15">H38</f>
        <v>1775</v>
      </c>
      <c r="I146" s="23">
        <f t="shared" si="15"/>
        <v>1819</v>
      </c>
      <c r="J146" s="23">
        <f t="shared" si="15"/>
        <v>1865</v>
      </c>
      <c r="K146" s="23">
        <f t="shared" si="15"/>
        <v>1911</v>
      </c>
      <c r="L146" s="23">
        <f t="shared" si="15"/>
        <v>1959</v>
      </c>
      <c r="M146" s="23">
        <f t="shared" si="15"/>
        <v>2008</v>
      </c>
      <c r="N146" s="23">
        <f t="shared" si="15"/>
        <v>2058</v>
      </c>
      <c r="O146" s="23">
        <f t="shared" si="15"/>
        <v>2110</v>
      </c>
      <c r="P146" s="23">
        <f t="shared" si="15"/>
        <v>2162</v>
      </c>
    </row>
    <row r="147" spans="1:16" x14ac:dyDescent="0.35">
      <c r="C147" s="9" t="s">
        <v>130</v>
      </c>
      <c r="D147" s="9" t="s">
        <v>88</v>
      </c>
      <c r="G147" s="20">
        <f>G126</f>
        <v>5.0274999999999999</v>
      </c>
      <c r="H147" s="20">
        <f>H126</f>
        <v>5.1531874999999996</v>
      </c>
      <c r="I147" s="20">
        <f>I126</f>
        <v>5.2820171874999993</v>
      </c>
      <c r="J147" s="20">
        <f>J126</f>
        <v>5.4140676171874995</v>
      </c>
      <c r="K147" s="20">
        <f>K126</f>
        <v>5.5494193076171863</v>
      </c>
      <c r="L147" s="20">
        <f>L126</f>
        <v>5.6881547903076157</v>
      </c>
      <c r="M147" s="20">
        <f>M126</f>
        <v>5.830358660065305</v>
      </c>
      <c r="N147" s="20">
        <f>N126</f>
        <v>5.9761176265669373</v>
      </c>
      <c r="O147" s="20">
        <f>O126</f>
        <v>6.1255205672311099</v>
      </c>
      <c r="P147" s="20">
        <f>P126</f>
        <v>6.2786585814118867</v>
      </c>
    </row>
    <row r="148" spans="1:16" x14ac:dyDescent="0.35">
      <c r="C148" s="9" t="s">
        <v>149</v>
      </c>
      <c r="D148" s="9" t="s">
        <v>54</v>
      </c>
      <c r="G148" s="20">
        <f>G146/G147</f>
        <v>344.30631526603679</v>
      </c>
      <c r="H148" s="20">
        <f t="shared" ref="H148:P148" si="16">H146/H147</f>
        <v>344.44700488775152</v>
      </c>
      <c r="I148" s="20">
        <f t="shared" si="16"/>
        <v>344.37600928385854</v>
      </c>
      <c r="J148" s="20">
        <f t="shared" si="16"/>
        <v>344.47297888917581</v>
      </c>
      <c r="K148" s="20">
        <f t="shared" si="16"/>
        <v>344.36035449275619</v>
      </c>
      <c r="L148" s="20">
        <f t="shared" si="16"/>
        <v>344.399910378328</v>
      </c>
      <c r="M148" s="20">
        <f t="shared" si="16"/>
        <v>344.40419827920306</v>
      </c>
      <c r="N148" s="20">
        <f t="shared" si="16"/>
        <v>344.37073173578852</v>
      </c>
      <c r="O148" s="20">
        <f t="shared" si="16"/>
        <v>344.46052002299837</v>
      </c>
      <c r="P148" s="20">
        <f t="shared" si="16"/>
        <v>344.34106775620046</v>
      </c>
    </row>
    <row r="150" spans="1:16" x14ac:dyDescent="0.35">
      <c r="C150" s="9" t="s">
        <v>132</v>
      </c>
      <c r="D150" s="9" t="s">
        <v>65</v>
      </c>
      <c r="G150" s="23">
        <f>G37</f>
        <v>154774</v>
      </c>
      <c r="H150" s="23">
        <f t="shared" ref="H150:P150" si="17">H37</f>
        <v>158644</v>
      </c>
      <c r="I150" s="23">
        <f t="shared" si="17"/>
        <v>162610</v>
      </c>
      <c r="J150" s="23">
        <f t="shared" si="17"/>
        <v>166675</v>
      </c>
      <c r="K150" s="23">
        <f t="shared" si="17"/>
        <v>170842</v>
      </c>
      <c r="L150" s="23">
        <f t="shared" si="17"/>
        <v>175113</v>
      </c>
      <c r="M150" s="23">
        <f t="shared" si="17"/>
        <v>179491</v>
      </c>
      <c r="N150" s="23">
        <f t="shared" si="17"/>
        <v>183978</v>
      </c>
      <c r="O150" s="23">
        <f t="shared" si="17"/>
        <v>188578</v>
      </c>
      <c r="P150" s="23">
        <f t="shared" si="17"/>
        <v>193292</v>
      </c>
    </row>
    <row r="151" spans="1:16" x14ac:dyDescent="0.35">
      <c r="C151" s="9" t="s">
        <v>115</v>
      </c>
      <c r="D151" s="9" t="s">
        <v>47</v>
      </c>
      <c r="E151" s="14">
        <f ca="1">E59*E140</f>
        <v>920</v>
      </c>
      <c r="G151" s="14">
        <f ca="1">$E151</f>
        <v>920</v>
      </c>
      <c r="H151" s="14">
        <f t="shared" ref="H151:P151" ca="1" si="18">$E151</f>
        <v>920</v>
      </c>
      <c r="I151" s="14">
        <f t="shared" ca="1" si="18"/>
        <v>920</v>
      </c>
      <c r="J151" s="14">
        <f t="shared" ca="1" si="18"/>
        <v>920</v>
      </c>
      <c r="K151" s="14">
        <f t="shared" ca="1" si="18"/>
        <v>920</v>
      </c>
      <c r="L151" s="14">
        <f t="shared" ca="1" si="18"/>
        <v>920</v>
      </c>
      <c r="M151" s="14">
        <f t="shared" ca="1" si="18"/>
        <v>920</v>
      </c>
      <c r="N151" s="14">
        <f t="shared" ca="1" si="18"/>
        <v>920</v>
      </c>
      <c r="O151" s="14">
        <f t="shared" ca="1" si="18"/>
        <v>920</v>
      </c>
      <c r="P151" s="14">
        <f t="shared" ca="1" si="18"/>
        <v>920</v>
      </c>
    </row>
    <row r="152" spans="1:16" x14ac:dyDescent="0.35">
      <c r="C152" s="9" t="s">
        <v>133</v>
      </c>
      <c r="D152" s="9" t="s">
        <v>87</v>
      </c>
      <c r="G152" s="20">
        <f ca="1">G150/G151</f>
        <v>168.23260869565217</v>
      </c>
      <c r="H152" s="20">
        <f t="shared" ref="H152:P152" ca="1" si="19">H150/H151</f>
        <v>172.43913043478261</v>
      </c>
      <c r="I152" s="20">
        <f t="shared" ca="1" si="19"/>
        <v>176.75</v>
      </c>
      <c r="J152" s="20">
        <f t="shared" ca="1" si="19"/>
        <v>181.16847826086956</v>
      </c>
      <c r="K152" s="20">
        <f t="shared" ca="1" si="19"/>
        <v>185.69782608695652</v>
      </c>
      <c r="L152" s="20">
        <f t="shared" ca="1" si="19"/>
        <v>190.34021739130435</v>
      </c>
      <c r="M152" s="20">
        <f t="shared" ca="1" si="19"/>
        <v>195.09891304347826</v>
      </c>
      <c r="N152" s="20">
        <f t="shared" ca="1" si="19"/>
        <v>199.97608695652173</v>
      </c>
      <c r="O152" s="20">
        <f t="shared" ca="1" si="19"/>
        <v>204.97608695652173</v>
      </c>
      <c r="P152" s="20">
        <f t="shared" ca="1" si="19"/>
        <v>210.1</v>
      </c>
    </row>
    <row r="153" spans="1:16" x14ac:dyDescent="0.35">
      <c r="C153" s="9" t="s">
        <v>152</v>
      </c>
      <c r="D153" s="9" t="s">
        <v>87</v>
      </c>
      <c r="G153" s="20">
        <f>G125</f>
        <v>220</v>
      </c>
      <c r="H153" s="20">
        <f t="shared" ref="H153:P153" si="20">H125</f>
        <v>225.49999999999997</v>
      </c>
      <c r="I153" s="20">
        <f t="shared" si="20"/>
        <v>231.13749999999999</v>
      </c>
      <c r="J153" s="20">
        <f t="shared" si="20"/>
        <v>236.91593749999998</v>
      </c>
      <c r="K153" s="20">
        <f t="shared" si="20"/>
        <v>242.83883593749994</v>
      </c>
      <c r="L153" s="20">
        <f t="shared" si="20"/>
        <v>248.90980683593742</v>
      </c>
      <c r="M153" s="20">
        <f t="shared" si="20"/>
        <v>255.13255200683585</v>
      </c>
      <c r="N153" s="20">
        <f t="shared" si="20"/>
        <v>261.51086580700672</v>
      </c>
      <c r="O153" s="20">
        <f t="shared" si="20"/>
        <v>268.04863745218182</v>
      </c>
      <c r="P153" s="20">
        <f t="shared" si="20"/>
        <v>274.74985338848637</v>
      </c>
    </row>
    <row r="155" spans="1:16" x14ac:dyDescent="0.35">
      <c r="C155" s="9" t="s">
        <v>134</v>
      </c>
      <c r="D155" s="9" t="s">
        <v>135</v>
      </c>
      <c r="E155" s="23">
        <f ca="1">E84</f>
        <v>2000</v>
      </c>
      <c r="G155" s="23">
        <f ca="1">$E155</f>
        <v>2000</v>
      </c>
      <c r="H155" s="23">
        <f t="shared" ref="H155:P155" ca="1" si="21">$E155</f>
        <v>2000</v>
      </c>
      <c r="I155" s="23">
        <f t="shared" ca="1" si="21"/>
        <v>2000</v>
      </c>
      <c r="J155" s="23">
        <f t="shared" ca="1" si="21"/>
        <v>2000</v>
      </c>
      <c r="K155" s="23">
        <f t="shared" ca="1" si="21"/>
        <v>2000</v>
      </c>
      <c r="L155" s="23">
        <f t="shared" ca="1" si="21"/>
        <v>2000</v>
      </c>
      <c r="M155" s="23">
        <f t="shared" ca="1" si="21"/>
        <v>2000</v>
      </c>
      <c r="N155" s="23">
        <f t="shared" ca="1" si="21"/>
        <v>2000</v>
      </c>
      <c r="O155" s="23">
        <f t="shared" ca="1" si="21"/>
        <v>2000</v>
      </c>
      <c r="P155" s="23">
        <f t="shared" ca="1" si="21"/>
        <v>2000</v>
      </c>
    </row>
    <row r="156" spans="1:16" x14ac:dyDescent="0.35">
      <c r="C156" s="9" t="s">
        <v>136</v>
      </c>
      <c r="D156" s="9" t="s">
        <v>87</v>
      </c>
      <c r="G156" s="20">
        <f ca="1">G150/G155</f>
        <v>77.387</v>
      </c>
      <c r="H156" s="20">
        <f t="shared" ref="H156:P156" ca="1" si="22">H150/H155</f>
        <v>79.322000000000003</v>
      </c>
      <c r="I156" s="20">
        <f t="shared" ca="1" si="22"/>
        <v>81.305000000000007</v>
      </c>
      <c r="J156" s="20">
        <f t="shared" ca="1" si="22"/>
        <v>83.337500000000006</v>
      </c>
      <c r="K156" s="20">
        <f t="shared" ca="1" si="22"/>
        <v>85.421000000000006</v>
      </c>
      <c r="L156" s="20">
        <f t="shared" ca="1" si="22"/>
        <v>87.5565</v>
      </c>
      <c r="M156" s="20">
        <f t="shared" ca="1" si="22"/>
        <v>89.745500000000007</v>
      </c>
      <c r="N156" s="20">
        <f t="shared" ca="1" si="22"/>
        <v>91.989000000000004</v>
      </c>
      <c r="O156" s="20">
        <f t="shared" ca="1" si="22"/>
        <v>94.289000000000001</v>
      </c>
      <c r="P156" s="20">
        <f t="shared" ca="1" si="22"/>
        <v>96.646000000000001</v>
      </c>
    </row>
    <row r="158" spans="1:16" x14ac:dyDescent="0.35">
      <c r="C158" s="9" t="s">
        <v>57</v>
      </c>
      <c r="D158" s="9" t="s">
        <v>54</v>
      </c>
      <c r="G158" s="20">
        <f ca="1">G141</f>
        <v>165.6</v>
      </c>
      <c r="H158" s="20">
        <f t="shared" ref="H158:P158" ca="1" si="23">H141</f>
        <v>165.56321471411439</v>
      </c>
      <c r="I158" s="20">
        <f t="shared" ca="1" si="23"/>
        <v>165.53019767702679</v>
      </c>
      <c r="J158" s="20">
        <f t="shared" ca="1" si="23"/>
        <v>165.4983360611734</v>
      </c>
      <c r="K158" s="20">
        <f t="shared" ca="1" si="23"/>
        <v>165.46520203021362</v>
      </c>
      <c r="L158" s="20">
        <f t="shared" ca="1" si="23"/>
        <v>165.44187407278656</v>
      </c>
      <c r="M158" s="20">
        <f t="shared" ca="1" si="23"/>
        <v>165.39928226201383</v>
      </c>
      <c r="N158" s="20">
        <f t="shared" ca="1" si="23"/>
        <v>165.37454078936236</v>
      </c>
      <c r="O158" s="20">
        <f t="shared" ca="1" si="23"/>
        <v>165.33926214167923</v>
      </c>
      <c r="P158" s="20">
        <f t="shared" ca="1" si="23"/>
        <v>165.30393820690026</v>
      </c>
    </row>
    <row r="159" spans="1:16" x14ac:dyDescent="0.35">
      <c r="C159" s="9" t="s">
        <v>138</v>
      </c>
      <c r="D159" s="9" t="s">
        <v>88</v>
      </c>
      <c r="G159" s="20">
        <f ca="1">G150/G158</f>
        <v>934.62560386473433</v>
      </c>
      <c r="H159" s="20">
        <f t="shared" ref="H159:P159" ca="1" si="24">H150/H158</f>
        <v>958.20801905748135</v>
      </c>
      <c r="I159" s="20">
        <f t="shared" ca="1" si="24"/>
        <v>982.35851996791234</v>
      </c>
      <c r="J159" s="20">
        <f t="shared" ca="1" si="24"/>
        <v>1007.1098233784759</v>
      </c>
      <c r="K159" s="20">
        <f t="shared" ca="1" si="24"/>
        <v>1032.4950376503007</v>
      </c>
      <c r="L159" s="20">
        <f t="shared" ca="1" si="24"/>
        <v>1058.4563368942413</v>
      </c>
      <c r="M159" s="20">
        <f t="shared" ca="1" si="24"/>
        <v>1085.1981794918738</v>
      </c>
      <c r="N159" s="20">
        <f t="shared" ca="1" si="24"/>
        <v>1112.4928850707006</v>
      </c>
      <c r="O159" s="20">
        <f t="shared" ca="1" si="24"/>
        <v>1140.5518420567735</v>
      </c>
      <c r="P159" s="20">
        <f t="shared" ca="1" si="24"/>
        <v>1169.3127344496106</v>
      </c>
    </row>
  </sheetData>
  <conditionalFormatting sqref="A57:XFD142 A144:XFD147 A143:B143 E143:XFD143 A149:XFD152 A148:B148 D148:XFD148 A153:B153 D153:XFD153 A154:XFD171">
    <cfRule type="containsText" dxfId="79" priority="33" operator="containsText" text="FALSE">
      <formula>NOT(ISERROR(SEARCH("FALSE",A57)))</formula>
    </cfRule>
    <cfRule type="cellIs" dxfId="78" priority="34" operator="equal">
      <formula>TRUE</formula>
    </cfRule>
    <cfRule type="containsText" dxfId="77" priority="35" operator="containsText" text="FALSE">
      <formula>NOT(ISERROR(SEARCH("FALSE",A57)))</formula>
    </cfRule>
    <cfRule type="cellIs" dxfId="76" priority="36" operator="equal">
      <formula>TRUE</formula>
    </cfRule>
    <cfRule type="containsText" dxfId="75" priority="37" operator="containsText" text="FALSE">
      <formula>NOT(ISERROR(SEARCH("FALSE",A57)))</formula>
    </cfRule>
    <cfRule type="cellIs" dxfId="74" priority="38" operator="equal">
      <formula>TRUE</formula>
    </cfRule>
    <cfRule type="containsText" dxfId="73" priority="39" operator="containsText" text="FALSE">
      <formula>NOT(ISERROR(SEARCH("FALSE",A57)))</formula>
    </cfRule>
    <cfRule type="cellIs" dxfId="72" priority="40" operator="equal">
      <formula>TRUE</formula>
    </cfRule>
  </conditionalFormatting>
  <conditionalFormatting sqref="A57:XFD142 A144:XFD147 A143:B143 E143:XFD143 A149:XFD152 A148:B148 D148:XFD148 A153:B153 D153:XFD153 A154:XFD171">
    <cfRule type="containsText" dxfId="71" priority="31" operator="containsText" text="FALSE">
      <formula>NOT(ISERROR(SEARCH("FALSE",A57)))</formula>
    </cfRule>
    <cfRule type="cellIs" dxfId="70" priority="32" operator="equal">
      <formula>TRUE</formula>
    </cfRule>
  </conditionalFormatting>
  <conditionalFormatting sqref="A1:XFD142 A144:XFD147 A143:B143 E143:XFD143 A149:XFD152 A148:B148 D148:XFD148 A153:B153 D153:XFD153 A154:XFD1048576">
    <cfRule type="containsText" dxfId="69" priority="29" operator="containsText" text="FALSE">
      <formula>NOT(ISERROR(SEARCH("FALSE",A1)))</formula>
    </cfRule>
    <cfRule type="cellIs" dxfId="68" priority="30" operator="equal">
      <formula>TRUE</formula>
    </cfRule>
  </conditionalFormatting>
  <conditionalFormatting sqref="C143:D143">
    <cfRule type="containsText" dxfId="67" priority="21" operator="containsText" text="FALSE">
      <formula>NOT(ISERROR(SEARCH("FALSE",C143)))</formula>
    </cfRule>
    <cfRule type="cellIs" dxfId="66" priority="22" operator="equal">
      <formula>TRUE</formula>
    </cfRule>
    <cfRule type="containsText" dxfId="65" priority="23" operator="containsText" text="FALSE">
      <formula>NOT(ISERROR(SEARCH("FALSE",C143)))</formula>
    </cfRule>
    <cfRule type="cellIs" dxfId="64" priority="24" operator="equal">
      <formula>TRUE</formula>
    </cfRule>
    <cfRule type="containsText" dxfId="63" priority="25" operator="containsText" text="FALSE">
      <formula>NOT(ISERROR(SEARCH("FALSE",C143)))</formula>
    </cfRule>
    <cfRule type="cellIs" dxfId="62" priority="26" operator="equal">
      <formula>TRUE</formula>
    </cfRule>
    <cfRule type="containsText" dxfId="61" priority="27" operator="containsText" text="FALSE">
      <formula>NOT(ISERROR(SEARCH("FALSE",C143)))</formula>
    </cfRule>
    <cfRule type="cellIs" dxfId="60" priority="28" operator="equal">
      <formula>TRUE</formula>
    </cfRule>
  </conditionalFormatting>
  <conditionalFormatting sqref="C143:D143">
    <cfRule type="containsText" dxfId="59" priority="19" operator="containsText" text="FALSE">
      <formula>NOT(ISERROR(SEARCH("FALSE",C143)))</formula>
    </cfRule>
    <cfRule type="cellIs" dxfId="58" priority="20" operator="equal">
      <formula>TRUE</formula>
    </cfRule>
  </conditionalFormatting>
  <conditionalFormatting sqref="C148">
    <cfRule type="containsText" dxfId="57" priority="11" operator="containsText" text="FALSE">
      <formula>NOT(ISERROR(SEARCH("FALSE",C148)))</formula>
    </cfRule>
    <cfRule type="cellIs" dxfId="56" priority="12" operator="equal">
      <formula>TRUE</formula>
    </cfRule>
    <cfRule type="containsText" dxfId="55" priority="13" operator="containsText" text="FALSE">
      <formula>NOT(ISERROR(SEARCH("FALSE",C148)))</formula>
    </cfRule>
    <cfRule type="cellIs" dxfId="54" priority="14" operator="equal">
      <formula>TRUE</formula>
    </cfRule>
    <cfRule type="containsText" dxfId="53" priority="15" operator="containsText" text="FALSE">
      <formula>NOT(ISERROR(SEARCH("FALSE",C148)))</formula>
    </cfRule>
    <cfRule type="cellIs" dxfId="52" priority="16" operator="equal">
      <formula>TRUE</formula>
    </cfRule>
    <cfRule type="containsText" dxfId="51" priority="17" operator="containsText" text="FALSE">
      <formula>NOT(ISERROR(SEARCH("FALSE",C148)))</formula>
    </cfRule>
    <cfRule type="cellIs" dxfId="50" priority="18" operator="equal">
      <formula>TRUE</formula>
    </cfRule>
  </conditionalFormatting>
  <conditionalFormatting sqref="C153">
    <cfRule type="containsText" dxfId="49" priority="3" operator="containsText" text="FALSE">
      <formula>NOT(ISERROR(SEARCH("FALSE",C153)))</formula>
    </cfRule>
    <cfRule type="cellIs" dxfId="48" priority="4" operator="equal">
      <formula>TRUE</formula>
    </cfRule>
    <cfRule type="containsText" dxfId="47" priority="5" operator="containsText" text="FALSE">
      <formula>NOT(ISERROR(SEARCH("FALSE",C153)))</formula>
    </cfRule>
    <cfRule type="cellIs" dxfId="46" priority="6" operator="equal">
      <formula>TRUE</formula>
    </cfRule>
    <cfRule type="containsText" dxfId="45" priority="7" operator="containsText" text="FALSE">
      <formula>NOT(ISERROR(SEARCH("FALSE",C153)))</formula>
    </cfRule>
    <cfRule type="cellIs" dxfId="44" priority="8" operator="equal">
      <formula>TRUE</formula>
    </cfRule>
    <cfRule type="containsText" dxfId="43" priority="9" operator="containsText" text="FALSE">
      <formula>NOT(ISERROR(SEARCH("FALSE",C153)))</formula>
    </cfRule>
    <cfRule type="cellIs" dxfId="42" priority="10" operator="equal">
      <formula>TRUE</formula>
    </cfRule>
  </conditionalFormatting>
  <conditionalFormatting sqref="C153">
    <cfRule type="containsText" dxfId="41" priority="1" operator="containsText" text="FALSE">
      <formula>NOT(ISERROR(SEARCH("FALSE",C153)))</formula>
    </cfRule>
    <cfRule type="cellIs" dxfId="40" priority="2" operator="equal">
      <formula>TRUE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170"/>
  <sheetViews>
    <sheetView workbookViewId="0">
      <pane xSplit="4" ySplit="1" topLeftCell="E55" activePane="bottomRight" state="frozen"/>
      <selection pane="topRight" activeCell="E1" sqref="E1"/>
      <selection pane="bottomLeft" activeCell="A2" sqref="A2"/>
      <selection pane="bottomRight" activeCell="A57" sqref="A57"/>
    </sheetView>
  </sheetViews>
  <sheetFormatPr defaultRowHeight="14.5" x14ac:dyDescent="0.35"/>
  <cols>
    <col min="1" max="2" width="2" customWidth="1"/>
    <col min="3" max="3" width="40.6328125" customWidth="1"/>
    <col min="4" max="4" width="11.36328125" customWidth="1"/>
    <col min="5" max="5" width="10.08984375" customWidth="1"/>
    <col min="6" max="16" width="11.1796875" customWidth="1"/>
  </cols>
  <sheetData>
    <row r="1" spans="6:16" s="9" customFormat="1" x14ac:dyDescent="0.35">
      <c r="F1" s="27">
        <v>2016</v>
      </c>
      <c r="G1" s="27">
        <v>2017</v>
      </c>
      <c r="H1" s="27">
        <v>2018</v>
      </c>
      <c r="I1" s="27">
        <v>2019</v>
      </c>
      <c r="J1" s="27">
        <v>2020</v>
      </c>
      <c r="K1" s="27">
        <v>2021</v>
      </c>
      <c r="L1" s="27">
        <v>2022</v>
      </c>
      <c r="M1" s="27">
        <v>2023</v>
      </c>
      <c r="N1" s="27">
        <v>2024</v>
      </c>
      <c r="O1" s="27">
        <v>2025</v>
      </c>
      <c r="P1" s="27">
        <v>2026</v>
      </c>
    </row>
    <row r="26" spans="17:18" x14ac:dyDescent="0.35">
      <c r="Q26">
        <v>10.25</v>
      </c>
      <c r="R26" s="1">
        <v>0.75</v>
      </c>
    </row>
    <row r="27" spans="17:18" x14ac:dyDescent="0.35">
      <c r="Q27">
        <v>5.35</v>
      </c>
      <c r="R27" s="1">
        <v>0.25</v>
      </c>
    </row>
    <row r="29" spans="17:18" x14ac:dyDescent="0.35">
      <c r="Q29">
        <f>SUMPRODUCT(Q26:Q27,R26:R27)</f>
        <v>9.0250000000000004</v>
      </c>
    </row>
    <row r="34" spans="3:16" s="44" customFormat="1" x14ac:dyDescent="0.35"/>
    <row r="35" spans="3:16" s="3" customFormat="1" x14ac:dyDescent="0.35">
      <c r="C35" s="3" t="s">
        <v>34</v>
      </c>
      <c r="F35" s="6">
        <v>0</v>
      </c>
      <c r="G35" s="6">
        <v>8653</v>
      </c>
      <c r="H35" s="6">
        <v>8869</v>
      </c>
      <c r="I35" s="6">
        <v>9091</v>
      </c>
      <c r="J35" s="6">
        <v>9318</v>
      </c>
      <c r="K35" s="6">
        <v>9551</v>
      </c>
      <c r="L35" s="6">
        <v>9790</v>
      </c>
      <c r="M35" s="6">
        <v>10035</v>
      </c>
      <c r="N35" s="6">
        <v>10285</v>
      </c>
      <c r="O35" s="6">
        <v>10543</v>
      </c>
      <c r="P35" s="6">
        <v>10806</v>
      </c>
    </row>
    <row r="36" spans="3:16" s="3" customFormat="1" x14ac:dyDescent="0.35">
      <c r="C36" s="3" t="s">
        <v>12</v>
      </c>
      <c r="F36" s="6">
        <v>0</v>
      </c>
      <c r="G36" s="6">
        <v>46609</v>
      </c>
      <c r="H36" s="6">
        <v>47774</v>
      </c>
      <c r="I36" s="6">
        <v>48968</v>
      </c>
      <c r="J36" s="6">
        <v>50193</v>
      </c>
      <c r="K36" s="6">
        <v>51447</v>
      </c>
      <c r="L36" s="6">
        <v>52734</v>
      </c>
      <c r="M36" s="6">
        <v>54052</v>
      </c>
      <c r="N36" s="6">
        <v>55403</v>
      </c>
      <c r="O36" s="6">
        <v>56788</v>
      </c>
      <c r="P36" s="6">
        <v>58208</v>
      </c>
    </row>
    <row r="37" spans="3:16" s="3" customFormat="1" x14ac:dyDescent="0.35">
      <c r="C37" s="3" t="s">
        <v>0</v>
      </c>
      <c r="F37" s="6">
        <v>0</v>
      </c>
      <c r="G37" s="6">
        <v>24866</v>
      </c>
      <c r="H37" s="6">
        <v>25487</v>
      </c>
      <c r="I37" s="6">
        <v>26125</v>
      </c>
      <c r="J37" s="6">
        <v>26778</v>
      </c>
      <c r="K37" s="6">
        <v>27447</v>
      </c>
      <c r="L37" s="6">
        <v>28133</v>
      </c>
      <c r="M37" s="6">
        <v>28837</v>
      </c>
      <c r="N37" s="6">
        <v>29557</v>
      </c>
      <c r="O37" s="6">
        <v>30296</v>
      </c>
      <c r="P37" s="6">
        <v>31054</v>
      </c>
    </row>
    <row r="38" spans="3:16" s="3" customFormat="1" x14ac:dyDescent="0.35">
      <c r="C38" s="3" t="s">
        <v>35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</row>
    <row r="39" spans="3:16" s="3" customFormat="1" x14ac:dyDescent="0.35">
      <c r="C39" s="4" t="s">
        <v>33</v>
      </c>
      <c r="F39" s="5">
        <v>0</v>
      </c>
      <c r="G39" s="5">
        <v>80127</v>
      </c>
      <c r="H39" s="5">
        <v>82130</v>
      </c>
      <c r="I39" s="5">
        <v>84184</v>
      </c>
      <c r="J39" s="5">
        <v>86288</v>
      </c>
      <c r="K39" s="5">
        <v>88445</v>
      </c>
      <c r="L39" s="5">
        <v>90657</v>
      </c>
      <c r="M39" s="5">
        <v>92923</v>
      </c>
      <c r="N39" s="5">
        <v>95246</v>
      </c>
      <c r="O39" s="5">
        <v>97627</v>
      </c>
      <c r="P39" s="5">
        <v>100068</v>
      </c>
    </row>
    <row r="40" spans="3:16" s="3" customFormat="1" x14ac:dyDescent="0.35">
      <c r="C40" s="3" t="s">
        <v>27</v>
      </c>
      <c r="F40" s="6">
        <v>0</v>
      </c>
      <c r="G40" s="6">
        <v>-40612</v>
      </c>
      <c r="H40" s="6">
        <v>-41526</v>
      </c>
      <c r="I40" s="6">
        <v>-42460</v>
      </c>
      <c r="J40" s="6">
        <v>-43415</v>
      </c>
      <c r="K40" s="6">
        <v>-44392</v>
      </c>
      <c r="L40" s="6">
        <v>-45391</v>
      </c>
      <c r="M40" s="6">
        <v>-46412</v>
      </c>
      <c r="N40" s="6">
        <v>-47457</v>
      </c>
      <c r="O40" s="6">
        <v>-48525</v>
      </c>
      <c r="P40" s="6">
        <v>-49616</v>
      </c>
    </row>
    <row r="41" spans="3:16" s="3" customFormat="1" x14ac:dyDescent="0.35">
      <c r="C41" s="3" t="s">
        <v>28</v>
      </c>
      <c r="F41" s="6">
        <v>0</v>
      </c>
      <c r="G41" s="6">
        <v>0</v>
      </c>
      <c r="H41" s="6">
        <v>0</v>
      </c>
      <c r="I41" s="6">
        <v>-49852</v>
      </c>
      <c r="J41" s="6">
        <v>-49852</v>
      </c>
      <c r="K41" s="6">
        <v>-49852</v>
      </c>
      <c r="L41" s="6">
        <v>-49852</v>
      </c>
      <c r="M41" s="6">
        <v>-49852</v>
      </c>
      <c r="N41" s="6">
        <v>-49852</v>
      </c>
      <c r="O41" s="6">
        <v>-49852</v>
      </c>
      <c r="P41" s="6">
        <v>-49852</v>
      </c>
    </row>
    <row r="42" spans="3:16" s="3" customFormat="1" x14ac:dyDescent="0.35">
      <c r="C42" s="3" t="s">
        <v>29</v>
      </c>
      <c r="F42" s="6">
        <v>0</v>
      </c>
      <c r="G42" s="6">
        <v>-6129</v>
      </c>
      <c r="H42" s="6">
        <v>-6281</v>
      </c>
      <c r="I42" s="6">
        <v>-6437</v>
      </c>
      <c r="J42" s="6">
        <v>-6596</v>
      </c>
      <c r="K42" s="6">
        <v>-6760</v>
      </c>
      <c r="L42" s="6">
        <v>-6927</v>
      </c>
      <c r="M42" s="6">
        <v>-7099</v>
      </c>
      <c r="N42" s="6">
        <v>-7275</v>
      </c>
      <c r="O42" s="6">
        <v>-7456</v>
      </c>
      <c r="P42" s="6">
        <v>-7641</v>
      </c>
    </row>
    <row r="43" spans="3:16" s="3" customFormat="1" x14ac:dyDescent="0.35">
      <c r="C43" s="4" t="s">
        <v>36</v>
      </c>
      <c r="F43" s="5">
        <v>0</v>
      </c>
      <c r="G43" s="5">
        <v>-46741</v>
      </c>
      <c r="H43" s="5">
        <v>-47807</v>
      </c>
      <c r="I43" s="5">
        <v>-98748</v>
      </c>
      <c r="J43" s="5">
        <v>-99863</v>
      </c>
      <c r="K43" s="5">
        <v>-101004</v>
      </c>
      <c r="L43" s="5">
        <v>-102170</v>
      </c>
      <c r="M43" s="5">
        <v>-103363</v>
      </c>
      <c r="N43" s="5">
        <v>-104584</v>
      </c>
      <c r="O43" s="5">
        <v>-105832</v>
      </c>
      <c r="P43" s="5">
        <v>-107108</v>
      </c>
    </row>
    <row r="44" spans="3:16" s="3" customFormat="1" x14ac:dyDescent="0.35">
      <c r="C44" s="3" t="s">
        <v>30</v>
      </c>
      <c r="F44" s="6">
        <v>0</v>
      </c>
      <c r="G44" s="6">
        <v>33386</v>
      </c>
      <c r="H44" s="6">
        <v>34324</v>
      </c>
      <c r="I44" s="6">
        <v>-14565</v>
      </c>
      <c r="J44" s="6">
        <v>-13575</v>
      </c>
      <c r="K44" s="6">
        <v>-12558</v>
      </c>
      <c r="L44" s="6">
        <v>-11513</v>
      </c>
      <c r="M44" s="6">
        <v>-10440</v>
      </c>
      <c r="N44" s="6">
        <v>-9337</v>
      </c>
      <c r="O44" s="6">
        <v>-8204</v>
      </c>
      <c r="P44" s="6">
        <v>-7041</v>
      </c>
    </row>
    <row r="45" spans="3:16" s="3" customFormat="1" x14ac:dyDescent="0.35">
      <c r="C45" s="3" t="s">
        <v>37</v>
      </c>
      <c r="F45" s="6">
        <v>0</v>
      </c>
      <c r="G45" s="6">
        <v>-356189</v>
      </c>
      <c r="H45" s="6">
        <v>-610432</v>
      </c>
      <c r="I45" s="6">
        <v>-435952</v>
      </c>
      <c r="J45" s="6">
        <v>-311323</v>
      </c>
      <c r="K45" s="6">
        <v>-222587</v>
      </c>
      <c r="L45" s="6">
        <v>-222338</v>
      </c>
      <c r="M45" s="6">
        <v>-222587</v>
      </c>
      <c r="N45" s="6">
        <v>-111169</v>
      </c>
      <c r="O45" s="6">
        <v>0</v>
      </c>
      <c r="P45" s="6">
        <v>0</v>
      </c>
    </row>
    <row r="46" spans="3:16" s="3" customFormat="1" x14ac:dyDescent="0.35">
      <c r="C46" s="3" t="s">
        <v>31</v>
      </c>
      <c r="F46" s="6">
        <v>0</v>
      </c>
      <c r="G46" s="6">
        <v>-322803</v>
      </c>
      <c r="H46" s="6">
        <v>-576109</v>
      </c>
      <c r="I46" s="6">
        <v>-450517</v>
      </c>
      <c r="J46" s="6">
        <v>-324898</v>
      </c>
      <c r="K46" s="6">
        <v>-235145</v>
      </c>
      <c r="L46" s="6">
        <v>-233851</v>
      </c>
      <c r="M46" s="6">
        <v>-233027</v>
      </c>
      <c r="N46" s="6">
        <v>-120506</v>
      </c>
      <c r="O46" s="6">
        <v>-8204</v>
      </c>
      <c r="P46" s="6">
        <v>-7041</v>
      </c>
    </row>
    <row r="47" spans="3:16" s="3" customFormat="1" x14ac:dyDescent="0.35">
      <c r="C47" s="3" t="s">
        <v>38</v>
      </c>
      <c r="F47" s="6">
        <v>0</v>
      </c>
      <c r="G47" s="6">
        <v>-39881</v>
      </c>
      <c r="H47" s="6">
        <v>-37128</v>
      </c>
      <c r="I47" s="6">
        <v>-34155</v>
      </c>
      <c r="J47" s="6">
        <v>-30944</v>
      </c>
      <c r="K47" s="6">
        <v>-27476</v>
      </c>
      <c r="L47" s="6">
        <v>-23731</v>
      </c>
      <c r="M47" s="6">
        <v>-19686</v>
      </c>
      <c r="N47" s="6">
        <v>-15317</v>
      </c>
      <c r="O47" s="6">
        <v>-10599</v>
      </c>
      <c r="P47" s="6">
        <v>-5503</v>
      </c>
    </row>
    <row r="48" spans="3:16" s="3" customFormat="1" x14ac:dyDescent="0.35">
      <c r="C48" s="3" t="s">
        <v>39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</row>
    <row r="49" spans="1:16" s="3" customFormat="1" x14ac:dyDescent="0.35">
      <c r="C49" s="4" t="s">
        <v>40</v>
      </c>
      <c r="F49" s="5">
        <v>0</v>
      </c>
      <c r="G49" s="5">
        <v>-362684</v>
      </c>
      <c r="H49" s="5">
        <v>-613237</v>
      </c>
      <c r="I49" s="5">
        <v>-484672</v>
      </c>
      <c r="J49" s="5">
        <v>-355842</v>
      </c>
      <c r="K49" s="5">
        <v>-262621</v>
      </c>
      <c r="L49" s="5">
        <v>-257582</v>
      </c>
      <c r="M49" s="5">
        <v>-252713</v>
      </c>
      <c r="N49" s="5">
        <v>-135823</v>
      </c>
      <c r="O49" s="5">
        <v>-18803</v>
      </c>
      <c r="P49" s="5">
        <v>-12544</v>
      </c>
    </row>
    <row r="50" spans="1:16" s="3" customFormat="1" x14ac:dyDescent="0.35">
      <c r="C50" s="3" t="s">
        <v>41</v>
      </c>
      <c r="F50" s="6">
        <v>0</v>
      </c>
      <c r="G50" s="6">
        <v>356189</v>
      </c>
      <c r="H50" s="6">
        <v>610432</v>
      </c>
      <c r="I50" s="6">
        <v>435952</v>
      </c>
      <c r="J50" s="6">
        <v>311323</v>
      </c>
      <c r="K50" s="6">
        <v>222587</v>
      </c>
      <c r="L50" s="6">
        <v>222338</v>
      </c>
      <c r="M50" s="6">
        <v>222587</v>
      </c>
      <c r="N50" s="6">
        <v>111169</v>
      </c>
      <c r="O50" s="6">
        <v>0</v>
      </c>
      <c r="P50" s="6">
        <v>0</v>
      </c>
    </row>
    <row r="51" spans="1:16" s="2" customFormat="1" x14ac:dyDescent="0.35">
      <c r="C51" s="2" t="s">
        <v>42</v>
      </c>
      <c r="F51" s="6">
        <v>-1994063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</row>
    <row r="52" spans="1:16" s="3" customFormat="1" x14ac:dyDescent="0.35">
      <c r="C52" s="3" t="s">
        <v>32</v>
      </c>
      <c r="F52" s="6">
        <v>0</v>
      </c>
      <c r="G52" s="6">
        <v>-34412</v>
      </c>
      <c r="H52" s="6">
        <v>-37165</v>
      </c>
      <c r="I52" s="6">
        <v>-40138</v>
      </c>
      <c r="J52" s="6">
        <v>-43350</v>
      </c>
      <c r="K52" s="6">
        <v>-46818</v>
      </c>
      <c r="L52" s="6">
        <v>-50563</v>
      </c>
      <c r="M52" s="6">
        <v>-54608</v>
      </c>
      <c r="N52" s="6">
        <v>-58977</v>
      </c>
      <c r="O52" s="6">
        <v>-63695</v>
      </c>
      <c r="P52" s="6">
        <v>-68790</v>
      </c>
    </row>
    <row r="53" spans="1:16" s="2" customFormat="1" x14ac:dyDescent="0.35">
      <c r="C53" s="2" t="s">
        <v>43</v>
      </c>
      <c r="F53" s="6">
        <v>-1994063</v>
      </c>
      <c r="G53" s="6">
        <v>-40907</v>
      </c>
      <c r="H53" s="6">
        <v>-39970</v>
      </c>
      <c r="I53" s="6">
        <v>-88858</v>
      </c>
      <c r="J53" s="6">
        <v>-87868</v>
      </c>
      <c r="K53" s="6">
        <v>-86852</v>
      </c>
      <c r="L53" s="6">
        <v>-85807</v>
      </c>
      <c r="M53" s="6">
        <v>-84734</v>
      </c>
      <c r="N53" s="6">
        <v>-83631</v>
      </c>
      <c r="O53" s="6">
        <v>-82498</v>
      </c>
      <c r="P53" s="6">
        <v>-81334</v>
      </c>
    </row>
    <row r="56" spans="1:16" s="9" customFormat="1" x14ac:dyDescent="0.35">
      <c r="G56" s="27">
        <v>2016</v>
      </c>
      <c r="H56" s="27">
        <v>2017</v>
      </c>
      <c r="I56" s="27">
        <v>2018</v>
      </c>
      <c r="J56" s="27">
        <v>2019</v>
      </c>
      <c r="K56" s="27">
        <v>2020</v>
      </c>
      <c r="L56" s="27">
        <v>2021</v>
      </c>
      <c r="M56" s="27">
        <v>2022</v>
      </c>
      <c r="N56" s="27">
        <v>2023</v>
      </c>
      <c r="O56" s="27">
        <v>2024</v>
      </c>
      <c r="P56" s="27">
        <v>2025</v>
      </c>
    </row>
    <row r="57" spans="1:16" s="34" customFormat="1" x14ac:dyDescent="0.35">
      <c r="A57" s="34" t="s">
        <v>119</v>
      </c>
      <c r="D57" s="34" t="s">
        <v>148</v>
      </c>
    </row>
    <row r="58" spans="1:16" s="9" customFormat="1" x14ac:dyDescent="0.35">
      <c r="C58" s="9" t="s">
        <v>115</v>
      </c>
      <c r="D58" s="9" t="s">
        <v>47</v>
      </c>
      <c r="E58" s="37">
        <f ca="1">INDIRECT("Assumptions!"&amp;$D$57&amp;"10")*1000</f>
        <v>1000</v>
      </c>
      <c r="F58" s="14"/>
      <c r="G58" s="16">
        <f ca="1">E58</f>
        <v>1000</v>
      </c>
      <c r="H58" s="16">
        <f ca="1">G58</f>
        <v>1000</v>
      </c>
      <c r="I58" s="16">
        <f ca="1">H58</f>
        <v>1000</v>
      </c>
      <c r="J58" s="16">
        <f ca="1">I58</f>
        <v>1000</v>
      </c>
      <c r="K58" s="16">
        <f ca="1">J58</f>
        <v>1000</v>
      </c>
      <c r="L58" s="16">
        <f ca="1">K58</f>
        <v>1000</v>
      </c>
      <c r="M58" s="16">
        <f ca="1">L58</f>
        <v>1000</v>
      </c>
      <c r="N58" s="16">
        <f ca="1">M58</f>
        <v>1000</v>
      </c>
      <c r="O58" s="16">
        <f ca="1">N58</f>
        <v>1000</v>
      </c>
      <c r="P58" s="16">
        <f ca="1">O58</f>
        <v>1000</v>
      </c>
    </row>
    <row r="59" spans="1:16" s="9" customFormat="1" x14ac:dyDescent="0.35">
      <c r="C59" s="9" t="s">
        <v>48</v>
      </c>
      <c r="D59" s="9" t="s">
        <v>49</v>
      </c>
      <c r="E59" s="9">
        <f ca="1">E60/E58</f>
        <v>4</v>
      </c>
      <c r="G59" s="17">
        <f ca="1">E59</f>
        <v>4</v>
      </c>
      <c r="H59" s="17">
        <f ca="1">G59</f>
        <v>4</v>
      </c>
      <c r="I59" s="17">
        <f ca="1">H59</f>
        <v>4</v>
      </c>
      <c r="J59" s="17">
        <f ca="1">I59</f>
        <v>4</v>
      </c>
      <c r="K59" s="17">
        <f ca="1">J59</f>
        <v>4</v>
      </c>
      <c r="L59" s="17">
        <f ca="1">K59</f>
        <v>4</v>
      </c>
      <c r="M59" s="17">
        <f ca="1">L59</f>
        <v>4</v>
      </c>
      <c r="N59" s="17">
        <f ca="1">M59</f>
        <v>4</v>
      </c>
      <c r="O59" s="17">
        <f ca="1">N59</f>
        <v>4</v>
      </c>
      <c r="P59" s="17">
        <f ca="1">O59</f>
        <v>4</v>
      </c>
    </row>
    <row r="60" spans="1:16" s="9" customFormat="1" x14ac:dyDescent="0.35">
      <c r="C60" s="9" t="s">
        <v>104</v>
      </c>
      <c r="D60" s="9" t="s">
        <v>50</v>
      </c>
      <c r="E60" s="37">
        <f ca="1">INDIRECT("Assumptions!"&amp;$D$57&amp;"11")*1000</f>
        <v>4000</v>
      </c>
      <c r="F60" s="16"/>
      <c r="G60" s="16">
        <f ca="1">G58*G59</f>
        <v>4000</v>
      </c>
      <c r="H60" s="16">
        <f ca="1">H58*H59</f>
        <v>4000</v>
      </c>
      <c r="I60" s="16">
        <f ca="1">I58*I59</f>
        <v>4000</v>
      </c>
      <c r="J60" s="16">
        <f ca="1">J58*J59</f>
        <v>4000</v>
      </c>
      <c r="K60" s="16">
        <f ca="1">K58*K59</f>
        <v>4000</v>
      </c>
      <c r="L60" s="16">
        <f ca="1">L58*L59</f>
        <v>4000</v>
      </c>
      <c r="M60" s="16">
        <f ca="1">M58*M59</f>
        <v>4000</v>
      </c>
      <c r="N60" s="16">
        <f ca="1">N58*N59</f>
        <v>4000</v>
      </c>
      <c r="O60" s="16">
        <f ca="1">O58*O59</f>
        <v>4000</v>
      </c>
      <c r="P60" s="16">
        <f ca="1">P58*P59</f>
        <v>4000</v>
      </c>
    </row>
    <row r="61" spans="1:16" s="9" customFormat="1" x14ac:dyDescent="0.35">
      <c r="C61" s="9" t="s">
        <v>52</v>
      </c>
      <c r="D61" s="9" t="s">
        <v>53</v>
      </c>
      <c r="E61" s="37">
        <f ca="1">INDIRECT("Assumptions!"&amp;$D$57&amp;"12")</f>
        <v>99</v>
      </c>
      <c r="F61" s="16"/>
      <c r="G61" s="16">
        <f ca="1">$E$61</f>
        <v>99</v>
      </c>
      <c r="H61" s="16">
        <f ca="1">$E$61</f>
        <v>99</v>
      </c>
      <c r="I61" s="16">
        <f ca="1">$E$61</f>
        <v>99</v>
      </c>
      <c r="J61" s="16">
        <f ca="1">$E$61</f>
        <v>99</v>
      </c>
      <c r="K61" s="16">
        <f ca="1">$E$61</f>
        <v>99</v>
      </c>
      <c r="L61" s="16">
        <f ca="1">$E$61</f>
        <v>99</v>
      </c>
      <c r="M61" s="16">
        <f ca="1">$E$61</f>
        <v>99</v>
      </c>
      <c r="N61" s="16">
        <f ca="1">$E$61</f>
        <v>99</v>
      </c>
      <c r="O61" s="16">
        <f ca="1">$E$61</f>
        <v>99</v>
      </c>
      <c r="P61" s="16">
        <f ca="1">$E$61</f>
        <v>99</v>
      </c>
    </row>
    <row r="62" spans="1:16" s="9" customFormat="1" x14ac:dyDescent="0.35">
      <c r="C62" s="9" t="s">
        <v>106</v>
      </c>
      <c r="D62" s="9" t="s">
        <v>54</v>
      </c>
      <c r="G62" s="16">
        <f ca="1">G61*G60/1000</f>
        <v>396</v>
      </c>
      <c r="H62" s="16">
        <f ca="1">H61*H60/1000</f>
        <v>396</v>
      </c>
      <c r="I62" s="16">
        <f ca="1">I61*I60/1000</f>
        <v>396</v>
      </c>
      <c r="J62" s="16">
        <f ca="1">J61*J60/1000</f>
        <v>396</v>
      </c>
      <c r="K62" s="16">
        <f ca="1">K61*K60/1000</f>
        <v>396</v>
      </c>
      <c r="L62" s="16">
        <f ca="1">L61*L60/1000</f>
        <v>396</v>
      </c>
      <c r="M62" s="16">
        <f ca="1">M61*M60/1000</f>
        <v>396</v>
      </c>
      <c r="N62" s="16">
        <f ca="1">N61*N60/1000</f>
        <v>396</v>
      </c>
      <c r="O62" s="16">
        <f ca="1">O61*O60/1000</f>
        <v>396</v>
      </c>
      <c r="P62" s="16">
        <f ca="1">P61*P60/1000</f>
        <v>396</v>
      </c>
    </row>
    <row r="63" spans="1:16" s="9" customFormat="1" x14ac:dyDescent="0.35">
      <c r="C63" s="9" t="s">
        <v>55</v>
      </c>
      <c r="D63" s="9" t="s">
        <v>56</v>
      </c>
      <c r="E63" s="32">
        <f ca="1">INDIRECT("Assumptions!"&amp;$D$57&amp;"13")</f>
        <v>1</v>
      </c>
      <c r="F63" s="19"/>
      <c r="G63" s="19">
        <f ca="1">$E$63</f>
        <v>1</v>
      </c>
      <c r="H63" s="19">
        <f ca="1">$E$63</f>
        <v>1</v>
      </c>
      <c r="I63" s="19">
        <f ca="1">$E$63</f>
        <v>1</v>
      </c>
      <c r="J63" s="19">
        <f ca="1">$E$63</f>
        <v>1</v>
      </c>
      <c r="K63" s="19">
        <f ca="1">$E$63</f>
        <v>1</v>
      </c>
      <c r="L63" s="19">
        <f ca="1">$E$63</f>
        <v>1</v>
      </c>
      <c r="M63" s="19">
        <f ca="1">$E$63</f>
        <v>1</v>
      </c>
      <c r="N63" s="19">
        <f ca="1">$E$63</f>
        <v>1</v>
      </c>
      <c r="O63" s="19">
        <f ca="1">$E$63</f>
        <v>1</v>
      </c>
      <c r="P63" s="19">
        <f ca="1">$E$63</f>
        <v>1</v>
      </c>
    </row>
    <row r="64" spans="1:16" s="9" customFormat="1" x14ac:dyDescent="0.35">
      <c r="C64" s="9" t="s">
        <v>51</v>
      </c>
      <c r="D64" s="9" t="s">
        <v>56</v>
      </c>
      <c r="E64" s="32">
        <f ca="1">INDIRECT("Assumptions!"&amp;$D$57&amp;"14")</f>
        <v>0.93</v>
      </c>
      <c r="F64" s="19"/>
      <c r="G64" s="19">
        <f ca="1">$E$64</f>
        <v>0.93</v>
      </c>
      <c r="H64" s="19">
        <f ca="1">$E$64</f>
        <v>0.93</v>
      </c>
      <c r="I64" s="19">
        <f ca="1">$E$64</f>
        <v>0.93</v>
      </c>
      <c r="J64" s="19">
        <f ca="1">$E$64</f>
        <v>0.93</v>
      </c>
      <c r="K64" s="19">
        <f ca="1">$E$64</f>
        <v>0.93</v>
      </c>
      <c r="L64" s="19">
        <f ca="1">$E$64</f>
        <v>0.93</v>
      </c>
      <c r="M64" s="19">
        <f ca="1">$E$64</f>
        <v>0.93</v>
      </c>
      <c r="N64" s="19">
        <f ca="1">$E$64</f>
        <v>0.93</v>
      </c>
      <c r="O64" s="19">
        <f ca="1">$E$64</f>
        <v>0.93</v>
      </c>
      <c r="P64" s="19">
        <f ca="1">$E$64</f>
        <v>0.93</v>
      </c>
    </row>
    <row r="65" spans="1:16" s="9" customFormat="1" x14ac:dyDescent="0.35">
      <c r="C65" s="9" t="s">
        <v>57</v>
      </c>
      <c r="D65" s="9" t="s">
        <v>54</v>
      </c>
      <c r="G65" s="16">
        <f ca="1">G62*G63</f>
        <v>396</v>
      </c>
      <c r="H65" s="16">
        <f ca="1">H62*H63</f>
        <v>396</v>
      </c>
      <c r="I65" s="16">
        <f ca="1">I62*I63</f>
        <v>396</v>
      </c>
      <c r="J65" s="16">
        <f ca="1">J62*J63</f>
        <v>396</v>
      </c>
      <c r="K65" s="16">
        <f ca="1">K62*K63</f>
        <v>396</v>
      </c>
      <c r="L65" s="16">
        <f ca="1">L62*L63</f>
        <v>396</v>
      </c>
      <c r="M65" s="16">
        <f ca="1">M62*M63</f>
        <v>396</v>
      </c>
      <c r="N65" s="16">
        <f ca="1">N62*N63</f>
        <v>396</v>
      </c>
      <c r="O65" s="16">
        <f ca="1">O62*O63</f>
        <v>396</v>
      </c>
      <c r="P65" s="16">
        <f ca="1">P62*P63</f>
        <v>396</v>
      </c>
    </row>
    <row r="66" spans="1:16" s="9" customFormat="1" x14ac:dyDescent="0.35">
      <c r="C66" s="9" t="s">
        <v>145</v>
      </c>
      <c r="D66" s="9" t="s">
        <v>56</v>
      </c>
      <c r="G66" s="39">
        <f ca="1">G61/8760</f>
        <v>1.1301369863013699E-2</v>
      </c>
      <c r="H66" s="39">
        <f t="shared" ref="H66:P66" ca="1" si="0">H61/8760</f>
        <v>1.1301369863013699E-2</v>
      </c>
      <c r="I66" s="39">
        <f t="shared" ca="1" si="0"/>
        <v>1.1301369863013699E-2</v>
      </c>
      <c r="J66" s="39">
        <f t="shared" ca="1" si="0"/>
        <v>1.1301369863013699E-2</v>
      </c>
      <c r="K66" s="39">
        <f t="shared" ca="1" si="0"/>
        <v>1.1301369863013699E-2</v>
      </c>
      <c r="L66" s="39">
        <f t="shared" ca="1" si="0"/>
        <v>1.1301369863013699E-2</v>
      </c>
      <c r="M66" s="39">
        <f t="shared" ca="1" si="0"/>
        <v>1.1301369863013699E-2</v>
      </c>
      <c r="N66" s="39">
        <f t="shared" ca="1" si="0"/>
        <v>1.1301369863013699E-2</v>
      </c>
      <c r="O66" s="39">
        <f t="shared" ca="1" si="0"/>
        <v>1.1301369863013699E-2</v>
      </c>
      <c r="P66" s="39">
        <f t="shared" ca="1" si="0"/>
        <v>1.1301369863013699E-2</v>
      </c>
    </row>
    <row r="67" spans="1:16" s="9" customFormat="1" x14ac:dyDescent="0.35"/>
    <row r="68" spans="1:16" s="34" customFormat="1" x14ac:dyDescent="0.35">
      <c r="A68" s="34" t="s">
        <v>120</v>
      </c>
    </row>
    <row r="69" spans="1:16" s="9" customFormat="1" x14ac:dyDescent="0.35">
      <c r="B69" s="9" t="s">
        <v>117</v>
      </c>
    </row>
    <row r="70" spans="1:16" s="9" customFormat="1" x14ac:dyDescent="0.35">
      <c r="C70" s="9" t="s">
        <v>59</v>
      </c>
      <c r="D70" s="9" t="s">
        <v>62</v>
      </c>
      <c r="E70" s="31">
        <v>504</v>
      </c>
    </row>
    <row r="71" spans="1:16" s="9" customFormat="1" x14ac:dyDescent="0.35">
      <c r="C71" s="9" t="s">
        <v>60</v>
      </c>
      <c r="D71" s="9" t="s">
        <v>62</v>
      </c>
      <c r="E71" s="31">
        <v>51</v>
      </c>
    </row>
    <row r="72" spans="1:16" s="9" customFormat="1" ht="15" thickBot="1" x14ac:dyDescent="0.4">
      <c r="C72" s="21" t="s">
        <v>61</v>
      </c>
      <c r="D72" s="21" t="s">
        <v>62</v>
      </c>
      <c r="E72" s="22">
        <f>SUM(E70:E71)</f>
        <v>555</v>
      </c>
      <c r="F72" s="8"/>
    </row>
    <row r="73" spans="1:16" s="9" customFormat="1" x14ac:dyDescent="0.35"/>
    <row r="74" spans="1:16" s="9" customFormat="1" x14ac:dyDescent="0.35">
      <c r="C74" s="9" t="s">
        <v>69</v>
      </c>
      <c r="D74" s="9" t="s">
        <v>66</v>
      </c>
      <c r="E74" s="33">
        <f ca="1">INDIRECT("Assumptions!"&amp;$D$57&amp;"21")</f>
        <v>1</v>
      </c>
      <c r="F74" s="20"/>
    </row>
    <row r="75" spans="1:16" s="9" customFormat="1" x14ac:dyDescent="0.35">
      <c r="C75" s="9" t="s">
        <v>71</v>
      </c>
      <c r="D75" s="9" t="s">
        <v>66</v>
      </c>
      <c r="E75" s="33">
        <f ca="1">INDIRECT("Assumptions!"&amp;$D$57&amp;"22")</f>
        <v>0.95</v>
      </c>
      <c r="F75" s="20"/>
    </row>
    <row r="76" spans="1:16" s="9" customFormat="1" x14ac:dyDescent="0.35"/>
    <row r="77" spans="1:16" s="9" customFormat="1" x14ac:dyDescent="0.35">
      <c r="C77" s="9" t="s">
        <v>59</v>
      </c>
      <c r="D77" s="9" t="s">
        <v>62</v>
      </c>
      <c r="E77" s="20">
        <f ca="1">E70*E74</f>
        <v>504</v>
      </c>
    </row>
    <row r="78" spans="1:16" s="9" customFormat="1" x14ac:dyDescent="0.35">
      <c r="C78" s="9" t="s">
        <v>60</v>
      </c>
      <c r="D78" s="9" t="s">
        <v>62</v>
      </c>
      <c r="E78" s="20">
        <f ca="1">E71*E75</f>
        <v>48.449999999999996</v>
      </c>
    </row>
    <row r="79" spans="1:16" s="9" customFormat="1" ht="15" thickBot="1" x14ac:dyDescent="0.4">
      <c r="C79" s="21" t="s">
        <v>61</v>
      </c>
      <c r="D79" s="21" t="s">
        <v>62</v>
      </c>
      <c r="E79" s="22">
        <f ca="1">SUM(E77:E78)</f>
        <v>552.45000000000005</v>
      </c>
    </row>
    <row r="80" spans="1:16" s="9" customFormat="1" x14ac:dyDescent="0.35"/>
    <row r="81" spans="2:6" s="9" customFormat="1" x14ac:dyDescent="0.35">
      <c r="C81" s="9" t="s">
        <v>118</v>
      </c>
      <c r="D81" s="9" t="s">
        <v>50</v>
      </c>
      <c r="E81" s="23">
        <f ca="1">E60</f>
        <v>4000</v>
      </c>
      <c r="F81" s="23"/>
    </row>
    <row r="82" spans="2:6" s="9" customFormat="1" x14ac:dyDescent="0.35">
      <c r="C82" s="9" t="s">
        <v>63</v>
      </c>
      <c r="D82" s="9" t="s">
        <v>65</v>
      </c>
      <c r="E82" s="23">
        <f ca="1">E81*E79</f>
        <v>2209800</v>
      </c>
      <c r="F82" s="23"/>
    </row>
    <row r="83" spans="2:6" s="9" customFormat="1" x14ac:dyDescent="0.35"/>
    <row r="84" spans="2:6" s="9" customFormat="1" x14ac:dyDescent="0.35">
      <c r="C84" s="9" t="s">
        <v>67</v>
      </c>
      <c r="D84" s="9" t="s">
        <v>68</v>
      </c>
      <c r="E84" s="32">
        <f ca="1">INDIRECT("Assumptions!"&amp;$D$57&amp;"17")</f>
        <v>0.12</v>
      </c>
      <c r="F84" s="19"/>
    </row>
    <row r="85" spans="2:6" s="9" customFormat="1" x14ac:dyDescent="0.35">
      <c r="C85" s="9" t="s">
        <v>64</v>
      </c>
      <c r="D85" s="9" t="s">
        <v>66</v>
      </c>
      <c r="E85" s="33">
        <f ca="1">INDIRECT("Assumptions!"&amp;$D$57&amp;"23")</f>
        <v>0.82</v>
      </c>
    </row>
    <row r="86" spans="2:6" s="9" customFormat="1" x14ac:dyDescent="0.35">
      <c r="C86" s="9" t="s">
        <v>70</v>
      </c>
      <c r="D86" s="9" t="s">
        <v>65</v>
      </c>
      <c r="E86" s="16">
        <f ca="1">E82*E84*E85</f>
        <v>217444.31999999998</v>
      </c>
      <c r="F86" s="23"/>
    </row>
    <row r="87" spans="2:6" s="9" customFormat="1" x14ac:dyDescent="0.35"/>
    <row r="88" spans="2:6" s="9" customFormat="1" ht="15" thickBot="1" x14ac:dyDescent="0.4">
      <c r="C88" s="21" t="s">
        <v>72</v>
      </c>
      <c r="D88" s="21" t="s">
        <v>65</v>
      </c>
      <c r="E88" s="24">
        <f ca="1">E86+E82</f>
        <v>2427244.3199999998</v>
      </c>
      <c r="F88" s="25"/>
    </row>
    <row r="89" spans="2:6" s="9" customFormat="1" x14ac:dyDescent="0.35">
      <c r="C89" s="8"/>
      <c r="D89" s="8"/>
      <c r="E89" s="25"/>
      <c r="F89" s="25"/>
    </row>
    <row r="90" spans="2:6" s="9" customFormat="1" x14ac:dyDescent="0.35">
      <c r="C90" s="8" t="s">
        <v>46</v>
      </c>
      <c r="D90" s="8" t="s">
        <v>47</v>
      </c>
      <c r="E90" s="14">
        <f ca="1">E58</f>
        <v>1000</v>
      </c>
      <c r="F90" s="25"/>
    </row>
    <row r="91" spans="2:6" s="9" customFormat="1" x14ac:dyDescent="0.35">
      <c r="C91" s="8" t="s">
        <v>98</v>
      </c>
      <c r="D91" s="8" t="s">
        <v>99</v>
      </c>
      <c r="E91" s="20">
        <f ca="1">E88/E90</f>
        <v>2427.2443199999998</v>
      </c>
      <c r="F91" s="25"/>
    </row>
    <row r="92" spans="2:6" s="9" customFormat="1" x14ac:dyDescent="0.35">
      <c r="F92" s="25"/>
    </row>
    <row r="93" spans="2:6" s="9" customFormat="1" x14ac:dyDescent="0.35">
      <c r="B93" s="9" t="s">
        <v>116</v>
      </c>
    </row>
    <row r="94" spans="2:6" s="9" customFormat="1" x14ac:dyDescent="0.35">
      <c r="C94" s="8" t="s">
        <v>90</v>
      </c>
      <c r="D94" s="8" t="s">
        <v>65</v>
      </c>
      <c r="E94" s="25">
        <f>-F53</f>
        <v>1994063</v>
      </c>
    </row>
    <row r="95" spans="2:6" s="9" customFormat="1" x14ac:dyDescent="0.35">
      <c r="C95" s="8"/>
      <c r="D95" s="8"/>
      <c r="E95" s="25"/>
    </row>
    <row r="96" spans="2:6" s="9" customFormat="1" x14ac:dyDescent="0.35">
      <c r="C96" s="8" t="s">
        <v>93</v>
      </c>
      <c r="D96" s="8" t="s">
        <v>65</v>
      </c>
      <c r="E96" s="25">
        <f>-I41</f>
        <v>49852</v>
      </c>
    </row>
    <row r="97" spans="1:6" s="9" customFormat="1" x14ac:dyDescent="0.35">
      <c r="C97" s="8" t="s">
        <v>94</v>
      </c>
      <c r="D97" s="8" t="s">
        <v>56</v>
      </c>
      <c r="E97" s="32">
        <f ca="1">INDIRECT("Assumptions!"&amp;$D$57&amp;"16")</f>
        <v>0.02</v>
      </c>
    </row>
    <row r="98" spans="1:6" s="9" customFormat="1" x14ac:dyDescent="0.35">
      <c r="C98" s="8" t="s">
        <v>102</v>
      </c>
      <c r="D98" s="8" t="s">
        <v>65</v>
      </c>
      <c r="E98" s="25">
        <f ca="1">E96/E97</f>
        <v>2492600</v>
      </c>
    </row>
    <row r="99" spans="1:6" s="9" customFormat="1" x14ac:dyDescent="0.35">
      <c r="C99" s="8" t="s">
        <v>103</v>
      </c>
      <c r="D99" s="8" t="s">
        <v>65</v>
      </c>
      <c r="E99" s="25">
        <f ca="1">E88</f>
        <v>2427244.3199999998</v>
      </c>
    </row>
    <row r="100" spans="1:6" s="9" customFormat="1" x14ac:dyDescent="0.35">
      <c r="C100" s="8"/>
      <c r="D100" s="8"/>
      <c r="E100" s="25"/>
    </row>
    <row r="101" spans="1:6" s="9" customFormat="1" x14ac:dyDescent="0.35">
      <c r="C101" s="8" t="s">
        <v>100</v>
      </c>
      <c r="D101" s="8" t="s">
        <v>65</v>
      </c>
      <c r="E101" s="25">
        <f ca="1">E98-E94</f>
        <v>498537</v>
      </c>
    </row>
    <row r="102" spans="1:6" s="9" customFormat="1" x14ac:dyDescent="0.35">
      <c r="C102" s="8" t="s">
        <v>101</v>
      </c>
      <c r="D102" s="8" t="s">
        <v>56</v>
      </c>
      <c r="E102" s="26">
        <f ca="1">E101/E98</f>
        <v>0.20000682018775576</v>
      </c>
    </row>
    <row r="103" spans="1:6" s="9" customFormat="1" x14ac:dyDescent="0.35">
      <c r="F103" s="25"/>
    </row>
    <row r="104" spans="1:6" s="34" customFormat="1" x14ac:dyDescent="0.35">
      <c r="A104" s="34" t="s">
        <v>121</v>
      </c>
      <c r="F104" s="36"/>
    </row>
    <row r="105" spans="1:6" s="9" customFormat="1" x14ac:dyDescent="0.35">
      <c r="B105" s="9" t="s">
        <v>73</v>
      </c>
    </row>
    <row r="106" spans="1:6" s="9" customFormat="1" x14ac:dyDescent="0.35">
      <c r="C106" s="9" t="s">
        <v>74</v>
      </c>
      <c r="D106" s="9" t="s">
        <v>56</v>
      </c>
      <c r="E106" s="32">
        <f>Assumptions!E3</f>
        <v>2.5000000000000001E-2</v>
      </c>
      <c r="F106" s="18"/>
    </row>
    <row r="107" spans="1:6" s="9" customFormat="1" x14ac:dyDescent="0.35">
      <c r="C107" s="9" t="s">
        <v>75</v>
      </c>
      <c r="D107" s="9" t="s">
        <v>76</v>
      </c>
      <c r="E107" s="31">
        <v>98</v>
      </c>
      <c r="F107" s="20"/>
    </row>
    <row r="108" spans="1:6" s="9" customFormat="1" x14ac:dyDescent="0.35">
      <c r="C108" s="9" t="s">
        <v>77</v>
      </c>
      <c r="D108" s="9" t="s">
        <v>78</v>
      </c>
      <c r="E108" s="31">
        <f>Q29</f>
        <v>9.0250000000000004</v>
      </c>
      <c r="F108" s="20"/>
    </row>
    <row r="109" spans="1:6" s="9" customFormat="1" x14ac:dyDescent="0.35"/>
    <row r="110" spans="1:6" s="9" customFormat="1" x14ac:dyDescent="0.35">
      <c r="B110" s="9" t="s">
        <v>79</v>
      </c>
    </row>
    <row r="111" spans="1:6" s="9" customFormat="1" x14ac:dyDescent="0.35">
      <c r="C111" s="9" t="s">
        <v>80</v>
      </c>
      <c r="D111" s="9" t="s">
        <v>56</v>
      </c>
      <c r="E111" s="32">
        <f>Assumptions!E4</f>
        <v>2.2499999999999999E-2</v>
      </c>
      <c r="F111" s="18"/>
    </row>
    <row r="112" spans="1:6" s="9" customFormat="1" x14ac:dyDescent="0.35">
      <c r="C112" s="9" t="s">
        <v>81</v>
      </c>
      <c r="D112" s="9" t="s">
        <v>56</v>
      </c>
      <c r="E112" s="32">
        <f>Assumptions!E5</f>
        <v>2.5000000000000001E-2</v>
      </c>
      <c r="F112" s="18"/>
    </row>
    <row r="113" spans="1:16" s="9" customFormat="1" x14ac:dyDescent="0.35">
      <c r="C113" s="9" t="s">
        <v>82</v>
      </c>
      <c r="D113" s="9" t="s">
        <v>78</v>
      </c>
      <c r="E113" s="31">
        <v>14</v>
      </c>
      <c r="F113" s="20"/>
    </row>
    <row r="114" spans="1:16" s="9" customFormat="1" x14ac:dyDescent="0.35">
      <c r="C114" s="9" t="s">
        <v>83</v>
      </c>
      <c r="D114" s="9" t="s">
        <v>56</v>
      </c>
      <c r="E114" s="32">
        <f ca="1">INDIRECT("Assumptions!"&amp;$D$57&amp;"18")</f>
        <v>1.6E-2</v>
      </c>
      <c r="F114" s="18"/>
    </row>
    <row r="115" spans="1:16" s="9" customFormat="1" x14ac:dyDescent="0.35">
      <c r="C115" s="9" t="s">
        <v>84</v>
      </c>
      <c r="D115" s="9" t="s">
        <v>56</v>
      </c>
      <c r="E115" s="18">
        <f ca="1">E97</f>
        <v>0.02</v>
      </c>
      <c r="F115" s="18"/>
    </row>
    <row r="116" spans="1:16" s="9" customFormat="1" x14ac:dyDescent="0.35"/>
    <row r="117" spans="1:16" s="9" customFormat="1" x14ac:dyDescent="0.35">
      <c r="B117" s="9" t="s">
        <v>85</v>
      </c>
    </row>
    <row r="118" spans="1:16" s="9" customFormat="1" x14ac:dyDescent="0.35">
      <c r="C118" s="9" t="s">
        <v>74</v>
      </c>
      <c r="G118" s="33">
        <f>Assumptions!G29</f>
        <v>1</v>
      </c>
      <c r="H118" s="33">
        <f>Assumptions!H29</f>
        <v>1.0249999999999999</v>
      </c>
      <c r="I118" s="33">
        <f>Assumptions!I29</f>
        <v>1.0506249999999999</v>
      </c>
      <c r="J118" s="33">
        <f>Assumptions!J29</f>
        <v>1.0768906249999999</v>
      </c>
      <c r="K118" s="33">
        <f>Assumptions!K29</f>
        <v>1.1038128906249998</v>
      </c>
      <c r="L118" s="33">
        <f>Assumptions!L29</f>
        <v>1.1314082128906247</v>
      </c>
      <c r="M118" s="33">
        <f>Assumptions!M29</f>
        <v>1.1596934182128902</v>
      </c>
      <c r="N118" s="33">
        <f>Assumptions!N29</f>
        <v>1.1886857536682123</v>
      </c>
      <c r="O118" s="33">
        <f>Assumptions!O29</f>
        <v>1.2184028975099175</v>
      </c>
      <c r="P118" s="33">
        <f>Assumptions!P29</f>
        <v>1.2488629699476652</v>
      </c>
    </row>
    <row r="119" spans="1:16" s="9" customFormat="1" x14ac:dyDescent="0.35">
      <c r="C119" s="9" t="s">
        <v>79</v>
      </c>
      <c r="G119" s="33">
        <f>Assumptions!G30</f>
        <v>1</v>
      </c>
      <c r="H119" s="33">
        <f>Assumptions!H30</f>
        <v>1.0225</v>
      </c>
      <c r="I119" s="33">
        <f>Assumptions!I30</f>
        <v>1.0455062499999999</v>
      </c>
      <c r="J119" s="33">
        <f>Assumptions!J30</f>
        <v>1.0690301406249998</v>
      </c>
      <c r="K119" s="33">
        <f>Assumptions!K30</f>
        <v>1.0930833187890623</v>
      </c>
      <c r="L119" s="33">
        <f>Assumptions!L30</f>
        <v>1.1176776934618162</v>
      </c>
      <c r="M119" s="33">
        <f>Assumptions!M30</f>
        <v>1.142825441564707</v>
      </c>
      <c r="N119" s="33">
        <f>Assumptions!N30</f>
        <v>1.1685390139999128</v>
      </c>
      <c r="O119" s="33">
        <f>Assumptions!O30</f>
        <v>1.1948311418149107</v>
      </c>
      <c r="P119" s="33">
        <f>Assumptions!P30</f>
        <v>1.221714842505746</v>
      </c>
    </row>
    <row r="120" spans="1:16" s="9" customFormat="1" x14ac:dyDescent="0.35">
      <c r="C120" s="9" t="s">
        <v>82</v>
      </c>
      <c r="G120" s="33">
        <f>Assumptions!G31</f>
        <v>1</v>
      </c>
      <c r="H120" s="33">
        <f>Assumptions!H31</f>
        <v>1.0249999999999999</v>
      </c>
      <c r="I120" s="33">
        <f>Assumptions!I31</f>
        <v>1.0506249999999999</v>
      </c>
      <c r="J120" s="33">
        <f>Assumptions!J31</f>
        <v>1.0768906249999999</v>
      </c>
      <c r="K120" s="33">
        <f>Assumptions!K31</f>
        <v>1.1038128906249998</v>
      </c>
      <c r="L120" s="33">
        <f>Assumptions!L31</f>
        <v>1.1314082128906247</v>
      </c>
      <c r="M120" s="33">
        <f>Assumptions!M31</f>
        <v>1.1596934182128902</v>
      </c>
      <c r="N120" s="33">
        <f>Assumptions!N31</f>
        <v>1.1886857536682123</v>
      </c>
      <c r="O120" s="33">
        <f>Assumptions!O31</f>
        <v>1.2184028975099175</v>
      </c>
      <c r="P120" s="33">
        <f>Assumptions!P31</f>
        <v>1.2488629699476652</v>
      </c>
    </row>
    <row r="121" spans="1:16" s="9" customFormat="1" x14ac:dyDescent="0.35"/>
    <row r="122" spans="1:16" s="9" customFormat="1" x14ac:dyDescent="0.35">
      <c r="C122" s="9" t="s">
        <v>86</v>
      </c>
      <c r="D122" s="9" t="s">
        <v>87</v>
      </c>
      <c r="E122" s="20">
        <f>E107</f>
        <v>98</v>
      </c>
      <c r="F122" s="20"/>
      <c r="G122" s="20">
        <f>$E122*G118</f>
        <v>98</v>
      </c>
      <c r="H122" s="20">
        <f t="shared" ref="H122:P122" si="1">$E122*H118</f>
        <v>100.44999999999999</v>
      </c>
      <c r="I122" s="20">
        <f t="shared" si="1"/>
        <v>102.96124999999999</v>
      </c>
      <c r="J122" s="20">
        <f t="shared" si="1"/>
        <v>105.53528124999998</v>
      </c>
      <c r="K122" s="20">
        <f t="shared" si="1"/>
        <v>108.17366328124997</v>
      </c>
      <c r="L122" s="20">
        <f t="shared" si="1"/>
        <v>110.87800486328122</v>
      </c>
      <c r="M122" s="20">
        <f t="shared" si="1"/>
        <v>113.64995498486324</v>
      </c>
      <c r="N122" s="20">
        <f t="shared" si="1"/>
        <v>116.4912038594848</v>
      </c>
      <c r="O122" s="20">
        <f t="shared" si="1"/>
        <v>119.40348395597191</v>
      </c>
      <c r="P122" s="20">
        <f t="shared" si="1"/>
        <v>122.38857105487119</v>
      </c>
    </row>
    <row r="123" spans="1:16" s="9" customFormat="1" x14ac:dyDescent="0.35">
      <c r="C123" s="9" t="s">
        <v>126</v>
      </c>
      <c r="D123" s="9" t="s">
        <v>88</v>
      </c>
      <c r="E123" s="20">
        <f>E108</f>
        <v>9.0250000000000004</v>
      </c>
      <c r="F123" s="20"/>
      <c r="G123" s="20">
        <f>$E123*G118</f>
        <v>9.0250000000000004</v>
      </c>
      <c r="H123" s="20">
        <f t="shared" ref="H123:P123" si="2">$E123*H118</f>
        <v>9.2506249999999994</v>
      </c>
      <c r="I123" s="20">
        <f t="shared" si="2"/>
        <v>9.4818906250000001</v>
      </c>
      <c r="J123" s="20">
        <f t="shared" si="2"/>
        <v>9.7189378906249999</v>
      </c>
      <c r="K123" s="20">
        <f t="shared" si="2"/>
        <v>9.9619113378906228</v>
      </c>
      <c r="L123" s="20">
        <f t="shared" si="2"/>
        <v>10.210959121337888</v>
      </c>
      <c r="M123" s="20">
        <f t="shared" si="2"/>
        <v>10.466233099371335</v>
      </c>
      <c r="N123" s="20">
        <f t="shared" si="2"/>
        <v>10.727888926855616</v>
      </c>
      <c r="O123" s="20">
        <f t="shared" si="2"/>
        <v>10.996086150027006</v>
      </c>
      <c r="P123" s="20">
        <f t="shared" si="2"/>
        <v>11.270988303777679</v>
      </c>
    </row>
    <row r="124" spans="1:16" s="9" customFormat="1" x14ac:dyDescent="0.35"/>
    <row r="125" spans="1:16" s="34" customFormat="1" x14ac:dyDescent="0.35">
      <c r="A125" s="34" t="s">
        <v>123</v>
      </c>
      <c r="C125" s="35"/>
      <c r="D125" s="35"/>
      <c r="E125" s="36"/>
    </row>
    <row r="126" spans="1:16" s="9" customFormat="1" x14ac:dyDescent="0.35">
      <c r="C126" s="8" t="s">
        <v>80</v>
      </c>
      <c r="D126" s="8" t="s">
        <v>56</v>
      </c>
      <c r="E126" s="26">
        <f ca="1">E114</f>
        <v>1.6E-2</v>
      </c>
      <c r="G126" s="18">
        <f ca="1">$E126</f>
        <v>1.6E-2</v>
      </c>
      <c r="H126" s="18">
        <f t="shared" ref="H126:P126" ca="1" si="3">$E126</f>
        <v>1.6E-2</v>
      </c>
      <c r="I126" s="18">
        <f t="shared" ca="1" si="3"/>
        <v>1.6E-2</v>
      </c>
      <c r="J126" s="18">
        <f t="shared" ca="1" si="3"/>
        <v>1.6E-2</v>
      </c>
      <c r="K126" s="18">
        <f t="shared" ca="1" si="3"/>
        <v>1.6E-2</v>
      </c>
      <c r="L126" s="18">
        <f t="shared" ca="1" si="3"/>
        <v>1.6E-2</v>
      </c>
      <c r="M126" s="18">
        <f t="shared" ca="1" si="3"/>
        <v>1.6E-2</v>
      </c>
      <c r="N126" s="18">
        <f t="shared" ca="1" si="3"/>
        <v>1.6E-2</v>
      </c>
      <c r="O126" s="18">
        <f t="shared" ca="1" si="3"/>
        <v>1.6E-2</v>
      </c>
      <c r="P126" s="18">
        <f t="shared" ca="1" si="3"/>
        <v>1.6E-2</v>
      </c>
    </row>
    <row r="127" spans="1:16" s="9" customFormat="1" x14ac:dyDescent="0.35">
      <c r="C127" s="8" t="s">
        <v>96</v>
      </c>
      <c r="D127" s="8" t="s">
        <v>65</v>
      </c>
      <c r="E127" s="25"/>
      <c r="G127" s="20">
        <f>-G40</f>
        <v>40612</v>
      </c>
      <c r="H127" s="20">
        <f t="shared" ref="H127:P127" si="4">-H40</f>
        <v>41526</v>
      </c>
      <c r="I127" s="20">
        <f t="shared" si="4"/>
        <v>42460</v>
      </c>
      <c r="J127" s="20">
        <f t="shared" si="4"/>
        <v>43415</v>
      </c>
      <c r="K127" s="20">
        <f t="shared" si="4"/>
        <v>44392</v>
      </c>
      <c r="L127" s="20">
        <f t="shared" si="4"/>
        <v>45391</v>
      </c>
      <c r="M127" s="20">
        <f t="shared" si="4"/>
        <v>46412</v>
      </c>
      <c r="N127" s="20">
        <f t="shared" si="4"/>
        <v>47457</v>
      </c>
      <c r="O127" s="20">
        <f t="shared" si="4"/>
        <v>48525</v>
      </c>
      <c r="P127" s="20">
        <f t="shared" si="4"/>
        <v>49616</v>
      </c>
    </row>
    <row r="128" spans="1:16" s="9" customFormat="1" x14ac:dyDescent="0.35">
      <c r="C128" s="8" t="s">
        <v>95</v>
      </c>
      <c r="D128" s="8" t="s">
        <v>65</v>
      </c>
      <c r="E128" s="25">
        <f ca="1">E98</f>
        <v>2492600</v>
      </c>
      <c r="G128" s="20">
        <f ca="1">$E128*G126</f>
        <v>39881.599999999999</v>
      </c>
      <c r="H128" s="20">
        <f ca="1">$E$128*H126</f>
        <v>39881.599999999999</v>
      </c>
      <c r="I128" s="20">
        <f ca="1">$E$128*I126</f>
        <v>39881.599999999999</v>
      </c>
      <c r="J128" s="20">
        <f ca="1">$E$128*J126</f>
        <v>39881.599999999999</v>
      </c>
      <c r="K128" s="20">
        <f ca="1">$E$128*K126</f>
        <v>39881.599999999999</v>
      </c>
      <c r="L128" s="20">
        <f ca="1">$E$128*L126</f>
        <v>39881.599999999999</v>
      </c>
      <c r="M128" s="20">
        <f ca="1">$E$128*M126</f>
        <v>39881.599999999999</v>
      </c>
      <c r="N128" s="20">
        <f ca="1">$E$128*N126</f>
        <v>39881.599999999999</v>
      </c>
      <c r="O128" s="20">
        <f ca="1">$E$128*O126</f>
        <v>39881.599999999999</v>
      </c>
      <c r="P128" s="20">
        <f ca="1">$E$128*P126</f>
        <v>39881.599999999999</v>
      </c>
    </row>
    <row r="129" spans="1:16" s="9" customFormat="1" x14ac:dyDescent="0.35">
      <c r="C129" s="8" t="s">
        <v>125</v>
      </c>
      <c r="D129" s="8" t="s">
        <v>65</v>
      </c>
      <c r="E129" s="25"/>
      <c r="G129" s="20">
        <f ca="1">G128*G119</f>
        <v>39881.599999999999</v>
      </c>
      <c r="H129" s="20">
        <f t="shared" ref="H129:P129" ca="1" si="5">H128*H119</f>
        <v>40778.935999999994</v>
      </c>
      <c r="I129" s="20">
        <f t="shared" ca="1" si="5"/>
        <v>41696.462059999991</v>
      </c>
      <c r="J129" s="20">
        <f t="shared" ca="1" si="5"/>
        <v>42634.632456349987</v>
      </c>
      <c r="K129" s="20">
        <f t="shared" ca="1" si="5"/>
        <v>43593.911686617867</v>
      </c>
      <c r="L129" s="20">
        <f t="shared" ca="1" si="5"/>
        <v>44574.774699566769</v>
      </c>
      <c r="M129" s="20">
        <f t="shared" ca="1" si="5"/>
        <v>45577.707130307019</v>
      </c>
      <c r="N129" s="20">
        <f t="shared" ca="1" si="5"/>
        <v>46603.20554073892</v>
      </c>
      <c r="O129" s="20">
        <f t="shared" ca="1" si="5"/>
        <v>47651.777665405541</v>
      </c>
      <c r="P129" s="20">
        <f t="shared" ca="1" si="5"/>
        <v>48723.942662877162</v>
      </c>
    </row>
    <row r="130" spans="1:16" s="9" customFormat="1" x14ac:dyDescent="0.35">
      <c r="C130" s="8" t="s">
        <v>124</v>
      </c>
      <c r="D130" s="8" t="s">
        <v>65</v>
      </c>
      <c r="E130" s="25"/>
      <c r="G130" s="20">
        <f ca="1">G129-G127</f>
        <v>-730.40000000000146</v>
      </c>
      <c r="H130" s="20">
        <f t="shared" ref="H130:P130" ca="1" si="6">H129-H127</f>
        <v>-747.06400000000576</v>
      </c>
      <c r="I130" s="20">
        <f t="shared" ca="1" si="6"/>
        <v>-763.53794000000926</v>
      </c>
      <c r="J130" s="20">
        <f t="shared" ca="1" si="6"/>
        <v>-780.36754365001252</v>
      </c>
      <c r="K130" s="20">
        <f t="shared" ca="1" si="6"/>
        <v>-798.08831338213349</v>
      </c>
      <c r="L130" s="20">
        <f t="shared" ca="1" si="6"/>
        <v>-816.22530043323059</v>
      </c>
      <c r="M130" s="20">
        <f t="shared" ca="1" si="6"/>
        <v>-834.29286969298118</v>
      </c>
      <c r="N130" s="20">
        <f t="shared" ca="1" si="6"/>
        <v>-853.79445926108019</v>
      </c>
      <c r="O130" s="20">
        <f t="shared" ca="1" si="6"/>
        <v>-873.22233459445852</v>
      </c>
      <c r="P130" s="20">
        <f t="shared" ca="1" si="6"/>
        <v>-892.05733712283836</v>
      </c>
    </row>
    <row r="131" spans="1:16" s="9" customFormat="1" x14ac:dyDescent="0.35">
      <c r="C131" s="8" t="s">
        <v>101</v>
      </c>
      <c r="D131" s="8"/>
      <c r="E131" s="25"/>
      <c r="G131" s="18">
        <f ca="1">G130/G128</f>
        <v>-1.8314210061782913E-2</v>
      </c>
      <c r="H131" s="18">
        <f t="shared" ref="H131:P131" ca="1" si="7">H130/H128</f>
        <v>-1.8732046858701903E-2</v>
      </c>
      <c r="I131" s="18">
        <f t="shared" ca="1" si="7"/>
        <v>-1.9145118049426535E-2</v>
      </c>
      <c r="J131" s="18">
        <f t="shared" ca="1" si="7"/>
        <v>-1.9567107228647108E-2</v>
      </c>
      <c r="K131" s="18">
        <f t="shared" ca="1" si="7"/>
        <v>-2.001144170199123E-2</v>
      </c>
      <c r="L131" s="18">
        <f t="shared" ca="1" si="7"/>
        <v>-2.0466212499830262E-2</v>
      </c>
      <c r="M131" s="18">
        <f t="shared" ca="1" si="7"/>
        <v>-2.0919242700718658E-2</v>
      </c>
      <c r="N131" s="18">
        <f t="shared" ca="1" si="7"/>
        <v>-2.1408229841858906E-2</v>
      </c>
      <c r="O131" s="18">
        <f t="shared" ca="1" si="7"/>
        <v>-2.1895368656083471E-2</v>
      </c>
      <c r="P131" s="18">
        <f t="shared" ca="1" si="7"/>
        <v>-2.2367641647347107E-2</v>
      </c>
    </row>
    <row r="132" spans="1:16" s="9" customFormat="1" x14ac:dyDescent="0.35">
      <c r="C132" s="8"/>
      <c r="D132" s="8"/>
      <c r="E132" s="26"/>
      <c r="G132" s="18"/>
      <c r="H132" s="18"/>
      <c r="I132" s="18"/>
      <c r="J132" s="18"/>
      <c r="K132" s="18"/>
      <c r="L132" s="18"/>
      <c r="M132" s="18"/>
      <c r="N132" s="18"/>
      <c r="O132" s="18"/>
      <c r="P132" s="18"/>
    </row>
    <row r="133" spans="1:16" s="9" customFormat="1" x14ac:dyDescent="0.35">
      <c r="C133" s="9" t="s">
        <v>127</v>
      </c>
      <c r="D133" s="9" t="s">
        <v>65</v>
      </c>
      <c r="E133" s="23">
        <f>-G42</f>
        <v>6129</v>
      </c>
      <c r="F133" s="20"/>
      <c r="G133" s="20">
        <f>-G42</f>
        <v>6129</v>
      </c>
      <c r="H133" s="20">
        <f>-H42</f>
        <v>6281</v>
      </c>
      <c r="I133" s="20">
        <f>-I42</f>
        <v>6437</v>
      </c>
      <c r="J133" s="20">
        <f>-J42</f>
        <v>6596</v>
      </c>
      <c r="K133" s="20">
        <f>-K42</f>
        <v>6760</v>
      </c>
      <c r="L133" s="20">
        <f>-L42</f>
        <v>6927</v>
      </c>
      <c r="M133" s="20">
        <f>-M42</f>
        <v>7099</v>
      </c>
      <c r="N133" s="20">
        <f>-N42</f>
        <v>7275</v>
      </c>
      <c r="O133" s="20">
        <f>-O42</f>
        <v>7456</v>
      </c>
      <c r="P133" s="20">
        <f>-P42</f>
        <v>7641</v>
      </c>
    </row>
    <row r="134" spans="1:16" s="9" customFormat="1" x14ac:dyDescent="0.35">
      <c r="C134" s="9" t="s">
        <v>91</v>
      </c>
      <c r="D134" s="9" t="s">
        <v>65</v>
      </c>
      <c r="E134" s="20">
        <f>E113</f>
        <v>14</v>
      </c>
      <c r="F134" s="20"/>
      <c r="G134" s="20">
        <f>$E134*G120</f>
        <v>14</v>
      </c>
      <c r="H134" s="20">
        <f t="shared" ref="H134:P134" si="8">$E134*H120</f>
        <v>14.349999999999998</v>
      </c>
      <c r="I134" s="20">
        <f t="shared" si="8"/>
        <v>14.708749999999998</v>
      </c>
      <c r="J134" s="20">
        <f t="shared" si="8"/>
        <v>15.076468749999998</v>
      </c>
      <c r="K134" s="20">
        <f t="shared" si="8"/>
        <v>15.453380468749996</v>
      </c>
      <c r="L134" s="20">
        <f t="shared" si="8"/>
        <v>15.839714980468745</v>
      </c>
      <c r="M134" s="20">
        <f t="shared" si="8"/>
        <v>16.235707854980461</v>
      </c>
      <c r="N134" s="20">
        <f t="shared" si="8"/>
        <v>16.641600551354973</v>
      </c>
      <c r="O134" s="20">
        <f t="shared" si="8"/>
        <v>17.057640565138843</v>
      </c>
      <c r="P134" s="20">
        <f t="shared" si="8"/>
        <v>17.484081579267311</v>
      </c>
    </row>
    <row r="135" spans="1:16" s="9" customFormat="1" x14ac:dyDescent="0.35">
      <c r="C135" s="9" t="s">
        <v>128</v>
      </c>
      <c r="D135" s="9" t="s">
        <v>54</v>
      </c>
      <c r="G135" s="20">
        <f>G133/G134</f>
        <v>437.78571428571428</v>
      </c>
      <c r="H135" s="20">
        <f t="shared" ref="H135:P135" si="9">H133/H134</f>
        <v>437.70034843205582</v>
      </c>
      <c r="I135" s="20">
        <f t="shared" si="9"/>
        <v>437.63066202090596</v>
      </c>
      <c r="J135" s="20">
        <f t="shared" si="9"/>
        <v>437.50297960190449</v>
      </c>
      <c r="K135" s="20">
        <f t="shared" si="9"/>
        <v>437.444739917596</v>
      </c>
      <c r="L135" s="20">
        <f t="shared" si="9"/>
        <v>437.31847501936613</v>
      </c>
      <c r="M135" s="20">
        <f t="shared" si="9"/>
        <v>437.24610367525878</v>
      </c>
      <c r="N135" s="20">
        <f t="shared" si="9"/>
        <v>437.15747037370534</v>
      </c>
      <c r="O135" s="20">
        <f t="shared" si="9"/>
        <v>437.10617371302959</v>
      </c>
      <c r="P135" s="20">
        <f t="shared" si="9"/>
        <v>437.02610087685281</v>
      </c>
    </row>
    <row r="136" spans="1:16" s="9" customFormat="1" x14ac:dyDescent="0.35"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9" customFormat="1" x14ac:dyDescent="0.35">
      <c r="C137" s="9" t="s">
        <v>51</v>
      </c>
      <c r="D137" s="9" t="s">
        <v>56</v>
      </c>
      <c r="E137" s="19">
        <f ca="1">E64</f>
        <v>0.93</v>
      </c>
      <c r="G137" s="19">
        <f ca="1">$E137</f>
        <v>0.93</v>
      </c>
      <c r="H137" s="19">
        <f t="shared" ref="H137:P137" ca="1" si="10">$E137</f>
        <v>0.93</v>
      </c>
      <c r="I137" s="19">
        <f t="shared" ca="1" si="10"/>
        <v>0.93</v>
      </c>
      <c r="J137" s="19">
        <f t="shared" ca="1" si="10"/>
        <v>0.93</v>
      </c>
      <c r="K137" s="19">
        <f t="shared" ca="1" si="10"/>
        <v>0.93</v>
      </c>
      <c r="L137" s="19">
        <f t="shared" ca="1" si="10"/>
        <v>0.93</v>
      </c>
      <c r="M137" s="19">
        <f t="shared" ca="1" si="10"/>
        <v>0.93</v>
      </c>
      <c r="N137" s="19">
        <f t="shared" ca="1" si="10"/>
        <v>0.93</v>
      </c>
      <c r="O137" s="19">
        <f t="shared" ca="1" si="10"/>
        <v>0.93</v>
      </c>
      <c r="P137" s="19">
        <f t="shared" ca="1" si="10"/>
        <v>0.93</v>
      </c>
    </row>
    <row r="138" spans="1:16" s="9" customFormat="1" x14ac:dyDescent="0.35">
      <c r="C138" s="9" t="s">
        <v>92</v>
      </c>
      <c r="D138" s="9" t="s">
        <v>54</v>
      </c>
      <c r="E138" s="19"/>
      <c r="G138" s="20">
        <f ca="1">G137*G135</f>
        <v>407.1407142857143</v>
      </c>
      <c r="H138" s="20">
        <f t="shared" ref="H138:P138" ca="1" si="11">H137*H135</f>
        <v>407.06132404181193</v>
      </c>
      <c r="I138" s="20">
        <f t="shared" ca="1" si="11"/>
        <v>406.99651567944255</v>
      </c>
      <c r="J138" s="20">
        <f t="shared" ca="1" si="11"/>
        <v>406.87777102977117</v>
      </c>
      <c r="K138" s="20">
        <f t="shared" ca="1" si="11"/>
        <v>406.82360812336429</v>
      </c>
      <c r="L138" s="20">
        <f t="shared" ca="1" si="11"/>
        <v>406.70618176801054</v>
      </c>
      <c r="M138" s="20">
        <f t="shared" ca="1" si="11"/>
        <v>406.63887641799067</v>
      </c>
      <c r="N138" s="20">
        <f t="shared" ca="1" si="11"/>
        <v>406.55644744754596</v>
      </c>
      <c r="O138" s="20">
        <f t="shared" ca="1" si="11"/>
        <v>406.50874155311755</v>
      </c>
      <c r="P138" s="20">
        <f t="shared" ca="1" si="11"/>
        <v>406.43427381547315</v>
      </c>
    </row>
    <row r="139" spans="1:16" s="9" customFormat="1" x14ac:dyDescent="0.35">
      <c r="C139" s="9" t="s">
        <v>105</v>
      </c>
      <c r="E139" s="19"/>
      <c r="G139" s="20"/>
      <c r="H139" s="18">
        <f ca="1">H138/G138-1</f>
        <v>-1.9499460780203481E-4</v>
      </c>
      <c r="I139" s="18">
        <f t="shared" ref="I139:P139" ca="1" si="12">I138/H138-1</f>
        <v>-1.5921031682863962E-4</v>
      </c>
      <c r="J139" s="18">
        <f t="shared" ca="1" si="12"/>
        <v>-2.9175839373751788E-4</v>
      </c>
      <c r="K139" s="18">
        <f t="shared" ca="1" si="12"/>
        <v>-1.3311837181417818E-4</v>
      </c>
      <c r="L139" s="18">
        <f t="shared" ca="1" si="12"/>
        <v>-2.8864193967359508E-4</v>
      </c>
      <c r="M139" s="18">
        <f t="shared" ca="1" si="12"/>
        <v>-1.6548887879519469E-4</v>
      </c>
      <c r="N139" s="18">
        <f t="shared" ca="1" si="12"/>
        <v>-2.0270804201216741E-4</v>
      </c>
      <c r="O139" s="18">
        <f t="shared" ca="1" si="12"/>
        <v>-1.1734137959917845E-4</v>
      </c>
      <c r="P139" s="18">
        <f t="shared" ca="1" si="12"/>
        <v>-1.8318852716392442E-4</v>
      </c>
    </row>
    <row r="140" spans="1:16" s="9" customFormat="1" x14ac:dyDescent="0.35">
      <c r="C140" s="9" t="s">
        <v>146</v>
      </c>
      <c r="D140" s="9" t="s">
        <v>54</v>
      </c>
      <c r="E140" s="19"/>
      <c r="G140" s="20">
        <f ca="1">G62</f>
        <v>396</v>
      </c>
      <c r="H140" s="20">
        <f t="shared" ref="H140:P140" ca="1" si="13">H62</f>
        <v>396</v>
      </c>
      <c r="I140" s="20">
        <f t="shared" ca="1" si="13"/>
        <v>396</v>
      </c>
      <c r="J140" s="20">
        <f t="shared" ca="1" si="13"/>
        <v>396</v>
      </c>
      <c r="K140" s="20">
        <f t="shared" ca="1" si="13"/>
        <v>396</v>
      </c>
      <c r="L140" s="20">
        <f t="shared" ca="1" si="13"/>
        <v>396</v>
      </c>
      <c r="M140" s="20">
        <f t="shared" ca="1" si="13"/>
        <v>396</v>
      </c>
      <c r="N140" s="20">
        <f t="shared" ca="1" si="13"/>
        <v>396</v>
      </c>
      <c r="O140" s="20">
        <f t="shared" ca="1" si="13"/>
        <v>396</v>
      </c>
      <c r="P140" s="20">
        <f t="shared" ca="1" si="13"/>
        <v>396</v>
      </c>
    </row>
    <row r="141" spans="1:16" s="9" customFormat="1" x14ac:dyDescent="0.35"/>
    <row r="142" spans="1:16" s="34" customFormat="1" x14ac:dyDescent="0.35">
      <c r="A142" s="34" t="s">
        <v>129</v>
      </c>
    </row>
    <row r="143" spans="1:16" s="9" customFormat="1" x14ac:dyDescent="0.35">
      <c r="C143" s="9" t="s">
        <v>97</v>
      </c>
      <c r="D143" s="9" t="s">
        <v>131</v>
      </c>
      <c r="G143" s="23">
        <f>G37</f>
        <v>24866</v>
      </c>
      <c r="H143" s="23">
        <f>H37</f>
        <v>25487</v>
      </c>
      <c r="I143" s="23">
        <f>I37</f>
        <v>26125</v>
      </c>
      <c r="J143" s="23">
        <f>J37</f>
        <v>26778</v>
      </c>
      <c r="K143" s="23">
        <f>K37</f>
        <v>27447</v>
      </c>
      <c r="L143" s="23">
        <f>L37</f>
        <v>28133</v>
      </c>
      <c r="M143" s="23">
        <f>M37</f>
        <v>28837</v>
      </c>
      <c r="N143" s="23">
        <f>N37</f>
        <v>29557</v>
      </c>
      <c r="O143" s="23">
        <f>O37</f>
        <v>30296</v>
      </c>
      <c r="P143" s="23">
        <f>P37</f>
        <v>31054</v>
      </c>
    </row>
    <row r="144" spans="1:16" s="9" customFormat="1" x14ac:dyDescent="0.35">
      <c r="C144" s="9" t="s">
        <v>130</v>
      </c>
      <c r="D144" s="9" t="s">
        <v>88</v>
      </c>
      <c r="G144" s="20">
        <f>G123</f>
        <v>9.0250000000000004</v>
      </c>
      <c r="H144" s="20">
        <f>H123</f>
        <v>9.2506249999999994</v>
      </c>
      <c r="I144" s="20">
        <f>I123</f>
        <v>9.4818906250000001</v>
      </c>
      <c r="J144" s="20">
        <f>J123</f>
        <v>9.7189378906249999</v>
      </c>
      <c r="K144" s="20">
        <f>K123</f>
        <v>9.9619113378906228</v>
      </c>
      <c r="L144" s="20">
        <f>L123</f>
        <v>10.210959121337888</v>
      </c>
      <c r="M144" s="20">
        <f>M123</f>
        <v>10.466233099371335</v>
      </c>
      <c r="N144" s="20">
        <f>N123</f>
        <v>10.727888926855616</v>
      </c>
      <c r="O144" s="20">
        <f>O123</f>
        <v>10.996086150027006</v>
      </c>
      <c r="P144" s="20">
        <f>P123</f>
        <v>11.270988303777679</v>
      </c>
    </row>
    <row r="145" spans="3:16" s="9" customFormat="1" x14ac:dyDescent="0.35">
      <c r="C145" s="9" t="s">
        <v>149</v>
      </c>
      <c r="D145" s="9" t="s">
        <v>54</v>
      </c>
      <c r="G145" s="20">
        <f>G143/G144</f>
        <v>2755.2354570637117</v>
      </c>
      <c r="H145" s="20">
        <f t="shared" ref="H145:P145" si="14">H143/H144</f>
        <v>2755.1651915411121</v>
      </c>
      <c r="I145" s="20">
        <f t="shared" si="14"/>
        <v>2755.2521995053071</v>
      </c>
      <c r="J145" s="20">
        <f t="shared" si="14"/>
        <v>2755.2393380176213</v>
      </c>
      <c r="K145" s="20">
        <f t="shared" si="14"/>
        <v>2755.1941659633103</v>
      </c>
      <c r="L145" s="20">
        <f t="shared" si="14"/>
        <v>2755.1770275145204</v>
      </c>
      <c r="M145" s="20">
        <f t="shared" si="14"/>
        <v>2755.2415206319192</v>
      </c>
      <c r="N145" s="20">
        <f t="shared" si="14"/>
        <v>2755.1552967712601</v>
      </c>
      <c r="O145" s="20">
        <f t="shared" si="14"/>
        <v>2755.1621173798821</v>
      </c>
      <c r="P145" s="20">
        <f t="shared" si="14"/>
        <v>2755.2153513983935</v>
      </c>
    </row>
    <row r="146" spans="3:16" s="9" customFormat="1" x14ac:dyDescent="0.35"/>
    <row r="147" spans="3:16" s="9" customFormat="1" x14ac:dyDescent="0.35">
      <c r="C147" s="9" t="s">
        <v>132</v>
      </c>
      <c r="D147" s="9" t="s">
        <v>65</v>
      </c>
      <c r="G147" s="23">
        <f>(G35+G36)</f>
        <v>55262</v>
      </c>
      <c r="H147" s="23">
        <f>(H35+H36)</f>
        <v>56643</v>
      </c>
      <c r="I147" s="23">
        <f>(I35+I36)</f>
        <v>58059</v>
      </c>
      <c r="J147" s="23">
        <f>(J35+J36)</f>
        <v>59511</v>
      </c>
      <c r="K147" s="23">
        <f>(K35+K36)</f>
        <v>60998</v>
      </c>
      <c r="L147" s="23">
        <f>(L35+L36)</f>
        <v>62524</v>
      </c>
      <c r="M147" s="23">
        <f>(M35+M36)</f>
        <v>64087</v>
      </c>
      <c r="N147" s="23">
        <f>(N35+N36)</f>
        <v>65688</v>
      </c>
      <c r="O147" s="23">
        <f>(O35+O36)</f>
        <v>67331</v>
      </c>
      <c r="P147" s="23">
        <f>(P35+P36)</f>
        <v>69014</v>
      </c>
    </row>
    <row r="148" spans="3:16" s="9" customFormat="1" x14ac:dyDescent="0.35">
      <c r="C148" s="9" t="s">
        <v>46</v>
      </c>
      <c r="D148" s="9" t="s">
        <v>47</v>
      </c>
      <c r="E148" s="16">
        <f ca="1">E58</f>
        <v>1000</v>
      </c>
      <c r="G148" s="14">
        <f ca="1">$E148</f>
        <v>1000</v>
      </c>
      <c r="H148" s="14">
        <f t="shared" ref="H148:P148" ca="1" si="15">$E148</f>
        <v>1000</v>
      </c>
      <c r="I148" s="14">
        <f t="shared" ca="1" si="15"/>
        <v>1000</v>
      </c>
      <c r="J148" s="14">
        <f t="shared" ca="1" si="15"/>
        <v>1000</v>
      </c>
      <c r="K148" s="14">
        <f t="shared" ca="1" si="15"/>
        <v>1000</v>
      </c>
      <c r="L148" s="14">
        <f t="shared" ca="1" si="15"/>
        <v>1000</v>
      </c>
      <c r="M148" s="14">
        <f t="shared" ca="1" si="15"/>
        <v>1000</v>
      </c>
      <c r="N148" s="14">
        <f t="shared" ca="1" si="15"/>
        <v>1000</v>
      </c>
      <c r="O148" s="14">
        <f t="shared" ca="1" si="15"/>
        <v>1000</v>
      </c>
      <c r="P148" s="14">
        <f t="shared" ca="1" si="15"/>
        <v>1000</v>
      </c>
    </row>
    <row r="149" spans="3:16" s="9" customFormat="1" x14ac:dyDescent="0.35">
      <c r="C149" s="9" t="s">
        <v>133</v>
      </c>
      <c r="D149" s="9" t="s">
        <v>87</v>
      </c>
      <c r="G149" s="20">
        <f ca="1">G147/G148</f>
        <v>55.262</v>
      </c>
      <c r="H149" s="20">
        <f t="shared" ref="H149:P149" ca="1" si="16">H147/H148</f>
        <v>56.643000000000001</v>
      </c>
      <c r="I149" s="20">
        <f t="shared" ca="1" si="16"/>
        <v>58.058999999999997</v>
      </c>
      <c r="J149" s="20">
        <f t="shared" ca="1" si="16"/>
        <v>59.511000000000003</v>
      </c>
      <c r="K149" s="20">
        <f t="shared" ca="1" si="16"/>
        <v>60.997999999999998</v>
      </c>
      <c r="L149" s="20">
        <f t="shared" ca="1" si="16"/>
        <v>62.524000000000001</v>
      </c>
      <c r="M149" s="20">
        <f t="shared" ca="1" si="16"/>
        <v>64.087000000000003</v>
      </c>
      <c r="N149" s="20">
        <f t="shared" ca="1" si="16"/>
        <v>65.688000000000002</v>
      </c>
      <c r="O149" s="20">
        <f t="shared" ca="1" si="16"/>
        <v>67.331000000000003</v>
      </c>
      <c r="P149" s="20">
        <f t="shared" ca="1" si="16"/>
        <v>69.013999999999996</v>
      </c>
    </row>
    <row r="150" spans="3:16" s="9" customFormat="1" x14ac:dyDescent="0.35">
      <c r="C150" s="9" t="s">
        <v>153</v>
      </c>
      <c r="D150" s="9" t="s">
        <v>87</v>
      </c>
      <c r="G150" s="20">
        <f>G122</f>
        <v>98</v>
      </c>
      <c r="H150" s="20">
        <f t="shared" ref="H150:P150" si="17">H122</f>
        <v>100.44999999999999</v>
      </c>
      <c r="I150" s="20">
        <f t="shared" si="17"/>
        <v>102.96124999999999</v>
      </c>
      <c r="J150" s="20">
        <f t="shared" si="17"/>
        <v>105.53528124999998</v>
      </c>
      <c r="K150" s="20">
        <f t="shared" si="17"/>
        <v>108.17366328124997</v>
      </c>
      <c r="L150" s="20">
        <f t="shared" si="17"/>
        <v>110.87800486328122</v>
      </c>
      <c r="M150" s="20">
        <f t="shared" si="17"/>
        <v>113.64995498486324</v>
      </c>
      <c r="N150" s="20">
        <f t="shared" si="17"/>
        <v>116.4912038594848</v>
      </c>
      <c r="O150" s="20">
        <f t="shared" si="17"/>
        <v>119.40348395597191</v>
      </c>
      <c r="P150" s="20">
        <f t="shared" si="17"/>
        <v>122.38857105487119</v>
      </c>
    </row>
    <row r="151" spans="3:16" s="9" customFormat="1" x14ac:dyDescent="0.35"/>
    <row r="152" spans="3:16" s="9" customFormat="1" x14ac:dyDescent="0.35">
      <c r="C152" s="9" t="s">
        <v>134</v>
      </c>
      <c r="D152" s="9" t="s">
        <v>135</v>
      </c>
      <c r="E152" s="16">
        <f ca="1">E81</f>
        <v>4000</v>
      </c>
      <c r="G152" s="23">
        <f ca="1">$E152</f>
        <v>4000</v>
      </c>
      <c r="H152" s="23">
        <f t="shared" ref="H152:P152" ca="1" si="18">$E152</f>
        <v>4000</v>
      </c>
      <c r="I152" s="23">
        <f t="shared" ca="1" si="18"/>
        <v>4000</v>
      </c>
      <c r="J152" s="23">
        <f t="shared" ca="1" si="18"/>
        <v>4000</v>
      </c>
      <c r="K152" s="23">
        <f t="shared" ca="1" si="18"/>
        <v>4000</v>
      </c>
      <c r="L152" s="23">
        <f t="shared" ca="1" si="18"/>
        <v>4000</v>
      </c>
      <c r="M152" s="23">
        <f t="shared" ca="1" si="18"/>
        <v>4000</v>
      </c>
      <c r="N152" s="23">
        <f t="shared" ca="1" si="18"/>
        <v>4000</v>
      </c>
      <c r="O152" s="23">
        <f t="shared" ca="1" si="18"/>
        <v>4000</v>
      </c>
      <c r="P152" s="23">
        <f t="shared" ca="1" si="18"/>
        <v>4000</v>
      </c>
    </row>
    <row r="153" spans="3:16" s="9" customFormat="1" x14ac:dyDescent="0.35">
      <c r="C153" s="9" t="s">
        <v>136</v>
      </c>
      <c r="D153" s="9" t="s">
        <v>87</v>
      </c>
      <c r="G153" s="20">
        <f ca="1">G147/G152</f>
        <v>13.8155</v>
      </c>
      <c r="H153" s="20">
        <f t="shared" ref="H153:P153" ca="1" si="19">H147/H152</f>
        <v>14.16075</v>
      </c>
      <c r="I153" s="20">
        <f t="shared" ca="1" si="19"/>
        <v>14.514749999999999</v>
      </c>
      <c r="J153" s="20">
        <f t="shared" ca="1" si="19"/>
        <v>14.877750000000001</v>
      </c>
      <c r="K153" s="20">
        <f t="shared" ca="1" si="19"/>
        <v>15.249499999999999</v>
      </c>
      <c r="L153" s="20">
        <f t="shared" ca="1" si="19"/>
        <v>15.631</v>
      </c>
      <c r="M153" s="20">
        <f t="shared" ca="1" si="19"/>
        <v>16.021750000000001</v>
      </c>
      <c r="N153" s="20">
        <f t="shared" ca="1" si="19"/>
        <v>16.422000000000001</v>
      </c>
      <c r="O153" s="20">
        <f t="shared" ca="1" si="19"/>
        <v>16.832750000000001</v>
      </c>
      <c r="P153" s="20">
        <f t="shared" ca="1" si="19"/>
        <v>17.253499999999999</v>
      </c>
    </row>
    <row r="154" spans="3:16" s="9" customFormat="1" x14ac:dyDescent="0.35"/>
    <row r="155" spans="3:16" s="9" customFormat="1" x14ac:dyDescent="0.35">
      <c r="C155" s="9" t="s">
        <v>57</v>
      </c>
      <c r="D155" s="9" t="s">
        <v>54</v>
      </c>
      <c r="G155" s="20">
        <f ca="1">G138</f>
        <v>407.1407142857143</v>
      </c>
      <c r="H155" s="20">
        <f t="shared" ref="H155:P155" ca="1" si="20">H138</f>
        <v>407.06132404181193</v>
      </c>
      <c r="I155" s="20">
        <f t="shared" ca="1" si="20"/>
        <v>406.99651567944255</v>
      </c>
      <c r="J155" s="20">
        <f t="shared" ca="1" si="20"/>
        <v>406.87777102977117</v>
      </c>
      <c r="K155" s="20">
        <f t="shared" ca="1" si="20"/>
        <v>406.82360812336429</v>
      </c>
      <c r="L155" s="20">
        <f t="shared" ca="1" si="20"/>
        <v>406.70618176801054</v>
      </c>
      <c r="M155" s="20">
        <f t="shared" ca="1" si="20"/>
        <v>406.63887641799067</v>
      </c>
      <c r="N155" s="20">
        <f t="shared" ca="1" si="20"/>
        <v>406.55644744754596</v>
      </c>
      <c r="O155" s="20">
        <f t="shared" ca="1" si="20"/>
        <v>406.50874155311755</v>
      </c>
      <c r="P155" s="20">
        <f t="shared" ca="1" si="20"/>
        <v>406.43427381547315</v>
      </c>
    </row>
    <row r="156" spans="3:16" s="9" customFormat="1" x14ac:dyDescent="0.35">
      <c r="C156" s="9" t="s">
        <v>138</v>
      </c>
      <c r="D156" s="9" t="s">
        <v>88</v>
      </c>
      <c r="G156" s="20">
        <f ca="1">G147/G155</f>
        <v>135.73194244881989</v>
      </c>
      <c r="H156" s="20">
        <f t="shared" ref="H156:P156" ca="1" si="21">H147/H155</f>
        <v>139.1510238250535</v>
      </c>
      <c r="I156" s="20">
        <f t="shared" ca="1" si="21"/>
        <v>142.6523268954181</v>
      </c>
      <c r="J156" s="20">
        <f t="shared" ca="1" si="21"/>
        <v>146.26259834589388</v>
      </c>
      <c r="K156" s="20">
        <f t="shared" ca="1" si="21"/>
        <v>149.93721795393719</v>
      </c>
      <c r="L156" s="20">
        <f t="shared" ca="1" si="21"/>
        <v>153.7326030506818</v>
      </c>
      <c r="M156" s="20">
        <f t="shared" ca="1" si="21"/>
        <v>157.60175358669824</v>
      </c>
      <c r="N156" s="20">
        <f t="shared" ca="1" si="21"/>
        <v>161.57165975943619</v>
      </c>
      <c r="O156" s="20">
        <f t="shared" ca="1" si="21"/>
        <v>165.63235452884354</v>
      </c>
      <c r="P156" s="20">
        <f t="shared" ca="1" si="21"/>
        <v>169.80359296995047</v>
      </c>
    </row>
    <row r="157" spans="3:16" s="9" customFormat="1" x14ac:dyDescent="0.35"/>
    <row r="158" spans="3:16" s="9" customFormat="1" x14ac:dyDescent="0.35"/>
    <row r="159" spans="3:16" s="9" customFormat="1" x14ac:dyDescent="0.35"/>
    <row r="160" spans="3:16" s="9" customFormat="1" x14ac:dyDescent="0.35"/>
    <row r="161" s="9" customFormat="1" x14ac:dyDescent="0.35"/>
    <row r="162" s="9" customFormat="1" x14ac:dyDescent="0.35"/>
    <row r="163" s="9" customFormat="1" x14ac:dyDescent="0.35"/>
    <row r="164" s="9" customFormat="1" x14ac:dyDescent="0.35"/>
    <row r="165" s="9" customFormat="1" x14ac:dyDescent="0.35"/>
    <row r="166" s="9" customFormat="1" x14ac:dyDescent="0.35"/>
    <row r="167" s="9" customFormat="1" x14ac:dyDescent="0.35"/>
    <row r="168" s="9" customFormat="1" x14ac:dyDescent="0.35"/>
    <row r="169" s="9" customFormat="1" x14ac:dyDescent="0.35"/>
    <row r="170" s="9" customFormat="1" x14ac:dyDescent="0.35"/>
  </sheetData>
  <conditionalFormatting sqref="A1:XFD1">
    <cfRule type="containsText" dxfId="39" priority="17" operator="containsText" text="FALSE">
      <formula>NOT(ISERROR(SEARCH("FALSE",A1)))</formula>
    </cfRule>
    <cfRule type="cellIs" dxfId="38" priority="18" operator="equal">
      <formula>TRUE</formula>
    </cfRule>
  </conditionalFormatting>
  <conditionalFormatting sqref="A56:XFD144 A145:B145 D145:XFD145 A146:XFD170">
    <cfRule type="containsText" dxfId="37" priority="9" operator="containsText" text="FALSE">
      <formula>NOT(ISERROR(SEARCH("FALSE",A56)))</formula>
    </cfRule>
    <cfRule type="cellIs" dxfId="36" priority="10" operator="equal">
      <formula>TRUE</formula>
    </cfRule>
    <cfRule type="containsText" dxfId="35" priority="11" operator="containsText" text="FALSE">
      <formula>NOT(ISERROR(SEARCH("FALSE",A56)))</formula>
    </cfRule>
    <cfRule type="cellIs" dxfId="34" priority="12" operator="equal">
      <formula>TRUE</formula>
    </cfRule>
    <cfRule type="containsText" dxfId="33" priority="13" operator="containsText" text="FALSE">
      <formula>NOT(ISERROR(SEARCH("FALSE",A56)))</formula>
    </cfRule>
    <cfRule type="cellIs" dxfId="32" priority="14" operator="equal">
      <formula>TRUE</formula>
    </cfRule>
    <cfRule type="containsText" dxfId="31" priority="15" operator="containsText" text="FALSE">
      <formula>NOT(ISERROR(SEARCH("FALSE",A56)))</formula>
    </cfRule>
    <cfRule type="cellIs" dxfId="30" priority="16" operator="equal">
      <formula>TRUE</formula>
    </cfRule>
  </conditionalFormatting>
  <conditionalFormatting sqref="C145">
    <cfRule type="containsText" dxfId="29" priority="1" operator="containsText" text="FALSE">
      <formula>NOT(ISERROR(SEARCH("FALSE",C145)))</formula>
    </cfRule>
    <cfRule type="cellIs" dxfId="28" priority="2" operator="equal">
      <formula>TRUE</formula>
    </cfRule>
    <cfRule type="containsText" dxfId="27" priority="3" operator="containsText" text="FALSE">
      <formula>NOT(ISERROR(SEARCH("FALSE",C145)))</formula>
    </cfRule>
    <cfRule type="cellIs" dxfId="26" priority="4" operator="equal">
      <formula>TRUE</formula>
    </cfRule>
    <cfRule type="containsText" dxfId="25" priority="5" operator="containsText" text="FALSE">
      <formula>NOT(ISERROR(SEARCH("FALSE",C145)))</formula>
    </cfRule>
    <cfRule type="cellIs" dxfId="24" priority="6" operator="equal">
      <formula>TRUE</formula>
    </cfRule>
    <cfRule type="containsText" dxfId="23" priority="7" operator="containsText" text="FALSE">
      <formula>NOT(ISERROR(SEARCH("FALSE",C145)))</formula>
    </cfRule>
    <cfRule type="cellIs" dxfId="22" priority="8" operator="equal">
      <formula>TRUE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57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8" sqref="B8"/>
    </sheetView>
  </sheetViews>
  <sheetFormatPr defaultRowHeight="14.5" x14ac:dyDescent="0.35"/>
  <cols>
    <col min="1" max="2" width="2.36328125" style="9" customWidth="1"/>
    <col min="3" max="3" width="32.453125" style="9" customWidth="1"/>
    <col min="4" max="4" width="11.26953125" style="9" customWidth="1"/>
    <col min="5" max="5" width="10.90625" style="9" customWidth="1"/>
    <col min="6" max="16" width="11.1796875" style="9" customWidth="1"/>
    <col min="17" max="16384" width="8.7265625" style="9"/>
  </cols>
  <sheetData>
    <row r="1" spans="6:16" x14ac:dyDescent="0.35">
      <c r="F1" s="27">
        <v>2016</v>
      </c>
      <c r="G1" s="27">
        <v>2017</v>
      </c>
      <c r="H1" s="27">
        <v>2018</v>
      </c>
      <c r="I1" s="27">
        <v>2019</v>
      </c>
      <c r="J1" s="27">
        <v>2020</v>
      </c>
      <c r="K1" s="27">
        <v>2021</v>
      </c>
      <c r="L1" s="27">
        <v>2022</v>
      </c>
      <c r="M1" s="27">
        <v>2023</v>
      </c>
      <c r="N1" s="27">
        <v>2024</v>
      </c>
      <c r="O1" s="27">
        <v>2025</v>
      </c>
      <c r="P1" s="27">
        <v>2026</v>
      </c>
    </row>
    <row r="36" spans="3:16" x14ac:dyDescent="0.35">
      <c r="F36" s="27">
        <v>2016</v>
      </c>
      <c r="G36" s="27">
        <v>2017</v>
      </c>
      <c r="H36" s="27">
        <v>2018</v>
      </c>
      <c r="I36" s="27">
        <v>2019</v>
      </c>
      <c r="J36" s="27">
        <v>2020</v>
      </c>
      <c r="K36" s="27">
        <v>2021</v>
      </c>
      <c r="L36" s="27">
        <v>2022</v>
      </c>
      <c r="M36" s="27">
        <v>2023</v>
      </c>
      <c r="N36" s="27">
        <v>2024</v>
      </c>
      <c r="O36" s="27">
        <v>2025</v>
      </c>
      <c r="P36" s="27">
        <v>2026</v>
      </c>
    </row>
    <row r="37" spans="3:16" x14ac:dyDescent="0.35">
      <c r="C37" s="41" t="s">
        <v>33</v>
      </c>
      <c r="F37" s="50">
        <v>1218697</v>
      </c>
      <c r="G37" s="50">
        <v>354163</v>
      </c>
      <c r="H37" s="50">
        <v>363017</v>
      </c>
      <c r="I37" s="50">
        <v>372093</v>
      </c>
      <c r="J37" s="50">
        <v>381395</v>
      </c>
      <c r="K37" s="50">
        <v>390930</v>
      </c>
      <c r="L37" s="50">
        <v>400703</v>
      </c>
      <c r="M37" s="50">
        <v>410721</v>
      </c>
      <c r="N37" s="50">
        <v>420989</v>
      </c>
      <c r="O37" s="50">
        <v>431513</v>
      </c>
      <c r="P37" s="50">
        <v>442301</v>
      </c>
    </row>
    <row r="38" spans="3:16" x14ac:dyDescent="0.35">
      <c r="C38" s="11" t="s">
        <v>158</v>
      </c>
      <c r="F38" s="51">
        <v>0</v>
      </c>
      <c r="G38" s="51">
        <v>108205</v>
      </c>
      <c r="H38" s="51">
        <v>110910</v>
      </c>
      <c r="I38" s="51">
        <v>113683</v>
      </c>
      <c r="J38" s="51">
        <v>116525</v>
      </c>
      <c r="K38" s="51">
        <v>119438</v>
      </c>
      <c r="L38" s="51">
        <v>122424</v>
      </c>
      <c r="M38" s="51">
        <v>125485</v>
      </c>
      <c r="N38" s="51">
        <v>128622</v>
      </c>
      <c r="O38" s="51">
        <v>131837</v>
      </c>
      <c r="P38" s="51">
        <v>135133</v>
      </c>
    </row>
    <row r="39" spans="3:16" x14ac:dyDescent="0.35">
      <c r="C39" s="11" t="s">
        <v>12</v>
      </c>
      <c r="F39" s="51">
        <v>0</v>
      </c>
      <c r="G39" s="51">
        <v>245958</v>
      </c>
      <c r="H39" s="51">
        <v>252107</v>
      </c>
      <c r="I39" s="51">
        <v>258410</v>
      </c>
      <c r="J39" s="51">
        <v>264870</v>
      </c>
      <c r="K39" s="51">
        <v>271492</v>
      </c>
      <c r="L39" s="51">
        <v>278279</v>
      </c>
      <c r="M39" s="51">
        <v>285236</v>
      </c>
      <c r="N39" s="51">
        <v>292367</v>
      </c>
      <c r="O39" s="51">
        <v>299676</v>
      </c>
      <c r="P39" s="51">
        <v>307168</v>
      </c>
    </row>
    <row r="40" spans="3:16" x14ac:dyDescent="0.35">
      <c r="C40" s="11" t="s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51">
        <v>0</v>
      </c>
    </row>
    <row r="41" spans="3:16" x14ac:dyDescent="0.35">
      <c r="C41" s="14" t="s">
        <v>35</v>
      </c>
      <c r="F41" s="52">
        <v>1218697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</row>
    <row r="42" spans="3:16" x14ac:dyDescent="0.35">
      <c r="C42" s="49" t="s">
        <v>36</v>
      </c>
      <c r="F42" s="53">
        <v>0</v>
      </c>
      <c r="G42" s="53">
        <v>-46591</v>
      </c>
      <c r="H42" s="53">
        <v>-47657</v>
      </c>
      <c r="I42" s="53">
        <v>-97496</v>
      </c>
      <c r="J42" s="53">
        <v>-98612</v>
      </c>
      <c r="K42" s="53">
        <v>-99753</v>
      </c>
      <c r="L42" s="53">
        <v>-100920</v>
      </c>
      <c r="M42" s="53">
        <v>-102114</v>
      </c>
      <c r="N42" s="53">
        <v>-103336</v>
      </c>
      <c r="O42" s="53">
        <v>-104585</v>
      </c>
      <c r="P42" s="53">
        <v>-105864</v>
      </c>
    </row>
    <row r="43" spans="3:16" x14ac:dyDescent="0.35">
      <c r="C43" s="11" t="s">
        <v>159</v>
      </c>
      <c r="F43" s="51">
        <v>0</v>
      </c>
      <c r="G43" s="51">
        <v>-38793</v>
      </c>
      <c r="H43" s="51">
        <v>-39666</v>
      </c>
      <c r="I43" s="51">
        <v>-40558</v>
      </c>
      <c r="J43" s="51">
        <v>-41471</v>
      </c>
      <c r="K43" s="51">
        <v>-42404</v>
      </c>
      <c r="L43" s="51">
        <v>-43358</v>
      </c>
      <c r="M43" s="51">
        <v>-44333</v>
      </c>
      <c r="N43" s="51">
        <v>-45331</v>
      </c>
      <c r="O43" s="51">
        <v>-46351</v>
      </c>
      <c r="P43" s="51">
        <v>-47394</v>
      </c>
    </row>
    <row r="44" spans="3:16" x14ac:dyDescent="0.35">
      <c r="C44" s="11" t="s">
        <v>28</v>
      </c>
      <c r="F44" s="51">
        <v>0</v>
      </c>
      <c r="G44" s="51">
        <v>0</v>
      </c>
      <c r="H44" s="51">
        <v>0</v>
      </c>
      <c r="I44" s="51">
        <v>-48748</v>
      </c>
      <c r="J44" s="51">
        <v>-48748</v>
      </c>
      <c r="K44" s="51">
        <v>-48748</v>
      </c>
      <c r="L44" s="51">
        <v>-48748</v>
      </c>
      <c r="M44" s="51">
        <v>-48748</v>
      </c>
      <c r="N44" s="51">
        <v>-48748</v>
      </c>
      <c r="O44" s="51">
        <v>-48748</v>
      </c>
      <c r="P44" s="51">
        <v>-48748</v>
      </c>
    </row>
    <row r="45" spans="3:16" x14ac:dyDescent="0.35">
      <c r="C45" s="11" t="s">
        <v>29</v>
      </c>
      <c r="F45" s="51">
        <v>0</v>
      </c>
      <c r="G45" s="51">
        <v>-7798</v>
      </c>
      <c r="H45" s="51">
        <v>-7992</v>
      </c>
      <c r="I45" s="51">
        <v>-8190</v>
      </c>
      <c r="J45" s="51">
        <v>-8393</v>
      </c>
      <c r="K45" s="51">
        <v>-8601</v>
      </c>
      <c r="L45" s="51">
        <v>-8814</v>
      </c>
      <c r="M45" s="51">
        <v>-9033</v>
      </c>
      <c r="N45" s="51">
        <v>-9257</v>
      </c>
      <c r="O45" s="51">
        <v>-9487</v>
      </c>
      <c r="P45" s="51">
        <v>-9722</v>
      </c>
    </row>
    <row r="46" spans="3:16" x14ac:dyDescent="0.35">
      <c r="C46" s="14" t="s">
        <v>30</v>
      </c>
      <c r="F46" s="52">
        <v>1218697</v>
      </c>
      <c r="G46" s="52">
        <v>307572</v>
      </c>
      <c r="H46" s="52">
        <v>315360</v>
      </c>
      <c r="I46" s="52">
        <v>274597</v>
      </c>
      <c r="J46" s="52">
        <v>282783</v>
      </c>
      <c r="K46" s="52">
        <v>291177</v>
      </c>
      <c r="L46" s="52">
        <v>299783</v>
      </c>
      <c r="M46" s="52">
        <v>308606</v>
      </c>
      <c r="N46" s="52">
        <v>317653</v>
      </c>
      <c r="O46" s="52">
        <v>326928</v>
      </c>
      <c r="P46" s="52">
        <v>336437</v>
      </c>
    </row>
    <row r="47" spans="3:16" x14ac:dyDescent="0.35">
      <c r="C47" s="11" t="s">
        <v>37</v>
      </c>
      <c r="F47" s="51">
        <v>0</v>
      </c>
      <c r="G47" s="51">
        <v>-348304</v>
      </c>
      <c r="H47" s="51">
        <v>-596918</v>
      </c>
      <c r="I47" s="51">
        <v>-426300</v>
      </c>
      <c r="J47" s="51">
        <v>-304431</v>
      </c>
      <c r="K47" s="51">
        <v>-217659</v>
      </c>
      <c r="L47" s="51">
        <v>-217416</v>
      </c>
      <c r="M47" s="51">
        <v>-217659</v>
      </c>
      <c r="N47" s="51">
        <v>-108708</v>
      </c>
      <c r="O47" s="51">
        <v>0</v>
      </c>
      <c r="P47" s="51">
        <v>0</v>
      </c>
    </row>
    <row r="48" spans="3:16" x14ac:dyDescent="0.35">
      <c r="C48" s="14" t="s">
        <v>31</v>
      </c>
      <c r="F48" s="52">
        <v>1218697</v>
      </c>
      <c r="G48" s="52">
        <v>-40732</v>
      </c>
      <c r="H48" s="52">
        <v>-281558</v>
      </c>
      <c r="I48" s="52">
        <v>-151704</v>
      </c>
      <c r="J48" s="52">
        <v>-21647</v>
      </c>
      <c r="K48" s="52">
        <v>73518</v>
      </c>
      <c r="L48" s="52">
        <v>82367</v>
      </c>
      <c r="M48" s="52">
        <v>90947</v>
      </c>
      <c r="N48" s="52">
        <v>208945</v>
      </c>
      <c r="O48" s="52">
        <v>326928</v>
      </c>
      <c r="P48" s="52">
        <v>336437</v>
      </c>
    </row>
    <row r="49" spans="1:16" x14ac:dyDescent="0.35">
      <c r="C49" s="11" t="s">
        <v>38</v>
      </c>
      <c r="F49" s="51">
        <v>0</v>
      </c>
      <c r="G49" s="51">
        <v>-38998</v>
      </c>
      <c r="H49" s="51">
        <v>-36306</v>
      </c>
      <c r="I49" s="51">
        <v>-33399</v>
      </c>
      <c r="J49" s="51">
        <v>-30259</v>
      </c>
      <c r="K49" s="51">
        <v>-26868</v>
      </c>
      <c r="L49" s="51">
        <v>-23205</v>
      </c>
      <c r="M49" s="51">
        <v>-19250</v>
      </c>
      <c r="N49" s="51">
        <v>-14978</v>
      </c>
      <c r="O49" s="51">
        <v>-10364</v>
      </c>
      <c r="P49" s="51">
        <v>-5381</v>
      </c>
    </row>
    <row r="50" spans="1:16" x14ac:dyDescent="0.35">
      <c r="C50" s="14" t="s">
        <v>39</v>
      </c>
      <c r="F50" s="52">
        <v>-475292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v>-20840</v>
      </c>
      <c r="P50" s="52">
        <v>-129112</v>
      </c>
    </row>
    <row r="51" spans="1:16" x14ac:dyDescent="0.35">
      <c r="C51" s="41" t="s">
        <v>40</v>
      </c>
      <c r="F51" s="50">
        <v>743405</v>
      </c>
      <c r="G51" s="50">
        <v>-79730</v>
      </c>
      <c r="H51" s="50">
        <v>-317864</v>
      </c>
      <c r="I51" s="50">
        <v>-185103</v>
      </c>
      <c r="J51" s="50">
        <v>-51906</v>
      </c>
      <c r="K51" s="50">
        <v>46650</v>
      </c>
      <c r="L51" s="50">
        <v>59162</v>
      </c>
      <c r="M51" s="50">
        <v>71697</v>
      </c>
      <c r="N51" s="50">
        <v>193967</v>
      </c>
      <c r="O51" s="50">
        <v>295724</v>
      </c>
      <c r="P51" s="50">
        <v>201944</v>
      </c>
    </row>
    <row r="52" spans="1:16" x14ac:dyDescent="0.35">
      <c r="C52" s="11" t="s">
        <v>41</v>
      </c>
      <c r="F52" s="51">
        <v>0</v>
      </c>
      <c r="G52" s="51">
        <v>348304</v>
      </c>
      <c r="H52" s="51">
        <v>596918</v>
      </c>
      <c r="I52" s="51">
        <v>426300</v>
      </c>
      <c r="J52" s="51">
        <v>304431</v>
      </c>
      <c r="K52" s="51">
        <v>217659</v>
      </c>
      <c r="L52" s="51">
        <v>217416</v>
      </c>
      <c r="M52" s="51">
        <v>217659</v>
      </c>
      <c r="N52" s="51">
        <v>108708</v>
      </c>
      <c r="O52" s="51">
        <v>0</v>
      </c>
      <c r="P52" s="51">
        <v>0</v>
      </c>
    </row>
    <row r="53" spans="1:16" x14ac:dyDescent="0.35">
      <c r="C53" s="14" t="s">
        <v>42</v>
      </c>
      <c r="F53" s="52">
        <v>-1949915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</v>
      </c>
      <c r="P53" s="52">
        <v>0</v>
      </c>
    </row>
    <row r="54" spans="1:16" x14ac:dyDescent="0.35">
      <c r="C54" s="11" t="s">
        <v>32</v>
      </c>
      <c r="F54" s="51">
        <v>0</v>
      </c>
      <c r="G54" s="51">
        <v>-33650</v>
      </c>
      <c r="H54" s="51">
        <v>-36342</v>
      </c>
      <c r="I54" s="51">
        <v>-39250</v>
      </c>
      <c r="J54" s="51">
        <v>-42390</v>
      </c>
      <c r="K54" s="51">
        <v>-45781</v>
      </c>
      <c r="L54" s="51">
        <v>-49443</v>
      </c>
      <c r="M54" s="51">
        <v>-53399</v>
      </c>
      <c r="N54" s="51">
        <v>-57671</v>
      </c>
      <c r="O54" s="51">
        <v>-62285</v>
      </c>
      <c r="P54" s="51">
        <v>-67267</v>
      </c>
    </row>
    <row r="55" spans="1:16" x14ac:dyDescent="0.35">
      <c r="C55" s="14" t="s">
        <v>43</v>
      </c>
      <c r="F55" s="52">
        <v>-1206510</v>
      </c>
      <c r="G55" s="52">
        <v>234923</v>
      </c>
      <c r="H55" s="52">
        <v>242711</v>
      </c>
      <c r="I55" s="52">
        <v>201948</v>
      </c>
      <c r="J55" s="52">
        <v>210134</v>
      </c>
      <c r="K55" s="52">
        <v>218528</v>
      </c>
      <c r="L55" s="52">
        <v>227134</v>
      </c>
      <c r="M55" s="52">
        <v>235957</v>
      </c>
      <c r="N55" s="52">
        <v>245004</v>
      </c>
      <c r="O55" s="52">
        <v>233439</v>
      </c>
      <c r="P55" s="52">
        <v>134677</v>
      </c>
    </row>
    <row r="56" spans="1:16" x14ac:dyDescent="0.35">
      <c r="G56" s="27">
        <v>2016</v>
      </c>
      <c r="H56" s="27">
        <v>2017</v>
      </c>
      <c r="I56" s="27">
        <v>2018</v>
      </c>
      <c r="J56" s="27">
        <v>2019</v>
      </c>
      <c r="K56" s="27">
        <v>2020</v>
      </c>
      <c r="L56" s="27">
        <v>2021</v>
      </c>
      <c r="M56" s="27">
        <v>2022</v>
      </c>
      <c r="N56" s="27">
        <v>2023</v>
      </c>
      <c r="O56" s="27">
        <v>2024</v>
      </c>
      <c r="P56" s="27">
        <v>2025</v>
      </c>
    </row>
    <row r="57" spans="1:16" s="34" customFormat="1" x14ac:dyDescent="0.35">
      <c r="A57" s="34" t="s">
        <v>119</v>
      </c>
      <c r="D57" s="34" t="s">
        <v>163</v>
      </c>
    </row>
    <row r="58" spans="1:16" x14ac:dyDescent="0.35">
      <c r="C58" s="9" t="s">
        <v>115</v>
      </c>
      <c r="D58" s="9" t="s">
        <v>47</v>
      </c>
      <c r="E58" s="37">
        <f ca="1">INDIRECT("Assumptions!"&amp;$D$57&amp;"10")*1000</f>
        <v>1000</v>
      </c>
      <c r="F58" s="14"/>
      <c r="G58" s="16">
        <f ca="1">E58</f>
        <v>1000</v>
      </c>
      <c r="H58" s="16">
        <f ca="1">G58</f>
        <v>1000</v>
      </c>
      <c r="I58" s="16">
        <f ca="1">H58</f>
        <v>1000</v>
      </c>
      <c r="J58" s="16">
        <f ca="1">I58</f>
        <v>1000</v>
      </c>
      <c r="K58" s="16">
        <f ca="1">J58</f>
        <v>1000</v>
      </c>
      <c r="L58" s="16">
        <f ca="1">K58</f>
        <v>1000</v>
      </c>
      <c r="M58" s="16">
        <f ca="1">L58</f>
        <v>1000</v>
      </c>
      <c r="N58" s="16">
        <f ca="1">M58</f>
        <v>1000</v>
      </c>
      <c r="O58" s="16">
        <f ca="1">N58</f>
        <v>1000</v>
      </c>
      <c r="P58" s="16">
        <f ca="1">O58</f>
        <v>1000</v>
      </c>
    </row>
    <row r="59" spans="1:16" x14ac:dyDescent="0.35">
      <c r="C59" s="9" t="s">
        <v>48</v>
      </c>
      <c r="D59" s="9" t="s">
        <v>49</v>
      </c>
      <c r="E59" s="9">
        <f ca="1">E60/E58</f>
        <v>4</v>
      </c>
      <c r="G59" s="17">
        <f ca="1">E59</f>
        <v>4</v>
      </c>
      <c r="H59" s="17">
        <f ca="1">G59</f>
        <v>4</v>
      </c>
      <c r="I59" s="17">
        <f ca="1">H59</f>
        <v>4</v>
      </c>
      <c r="J59" s="17">
        <f ca="1">I59</f>
        <v>4</v>
      </c>
      <c r="K59" s="17">
        <f ca="1">J59</f>
        <v>4</v>
      </c>
      <c r="L59" s="17">
        <f ca="1">K59</f>
        <v>4</v>
      </c>
      <c r="M59" s="17">
        <f ca="1">L59</f>
        <v>4</v>
      </c>
      <c r="N59" s="17">
        <f ca="1">M59</f>
        <v>4</v>
      </c>
      <c r="O59" s="17">
        <f ca="1">N59</f>
        <v>4</v>
      </c>
      <c r="P59" s="17">
        <f ca="1">O59</f>
        <v>4</v>
      </c>
    </row>
    <row r="60" spans="1:16" x14ac:dyDescent="0.35">
      <c r="C60" s="9" t="s">
        <v>104</v>
      </c>
      <c r="D60" s="9" t="s">
        <v>50</v>
      </c>
      <c r="E60" s="37">
        <f ca="1">INDIRECT("Assumptions!"&amp;$D$57&amp;"11")*1000</f>
        <v>4000</v>
      </c>
      <c r="F60" s="16"/>
      <c r="G60" s="16">
        <f ca="1">G58*G59</f>
        <v>4000</v>
      </c>
      <c r="H60" s="16">
        <f ca="1">H58*H59</f>
        <v>4000</v>
      </c>
      <c r="I60" s="16">
        <f ca="1">I58*I59</f>
        <v>4000</v>
      </c>
      <c r="J60" s="16">
        <f ca="1">J58*J59</f>
        <v>4000</v>
      </c>
      <c r="K60" s="16">
        <f ca="1">K58*K59</f>
        <v>4000</v>
      </c>
      <c r="L60" s="16">
        <f ca="1">L58*L59</f>
        <v>4000</v>
      </c>
      <c r="M60" s="16">
        <f ca="1">M58*M59</f>
        <v>4000</v>
      </c>
      <c r="N60" s="16">
        <f ca="1">N58*N59</f>
        <v>4000</v>
      </c>
      <c r="O60" s="16">
        <f ca="1">O58*O59</f>
        <v>4000</v>
      </c>
      <c r="P60" s="16">
        <f ca="1">P58*P59</f>
        <v>4000</v>
      </c>
    </row>
    <row r="61" spans="1:16" x14ac:dyDescent="0.35">
      <c r="C61" s="9" t="s">
        <v>52</v>
      </c>
      <c r="D61" s="9" t="s">
        <v>53</v>
      </c>
      <c r="E61" s="37">
        <f ca="1">INDIRECT("Assumptions!"&amp;$D$57&amp;"12")</f>
        <v>74</v>
      </c>
      <c r="F61" s="16"/>
      <c r="G61" s="16">
        <f ca="1">$E$61</f>
        <v>74</v>
      </c>
      <c r="H61" s="16">
        <f ca="1">$E$61</f>
        <v>74</v>
      </c>
      <c r="I61" s="16">
        <f ca="1">$E$61</f>
        <v>74</v>
      </c>
      <c r="J61" s="16">
        <f ca="1">$E$61</f>
        <v>74</v>
      </c>
      <c r="K61" s="16">
        <f ca="1">$E$61</f>
        <v>74</v>
      </c>
      <c r="L61" s="16">
        <f ca="1">$E$61</f>
        <v>74</v>
      </c>
      <c r="M61" s="16">
        <f ca="1">$E$61</f>
        <v>74</v>
      </c>
      <c r="N61" s="16">
        <f ca="1">$E$61</f>
        <v>74</v>
      </c>
      <c r="O61" s="16">
        <f ca="1">$E$61</f>
        <v>74</v>
      </c>
      <c r="P61" s="16">
        <f ca="1">$E$61</f>
        <v>74</v>
      </c>
    </row>
    <row r="62" spans="1:16" x14ac:dyDescent="0.35">
      <c r="C62" s="9" t="s">
        <v>106</v>
      </c>
      <c r="D62" s="9" t="s">
        <v>54</v>
      </c>
      <c r="G62" s="16">
        <f ca="1">G61*G60/1000</f>
        <v>296</v>
      </c>
      <c r="H62" s="16">
        <f ca="1">H61*H60/1000</f>
        <v>296</v>
      </c>
      <c r="I62" s="16">
        <f ca="1">I61*I60/1000</f>
        <v>296</v>
      </c>
      <c r="J62" s="16">
        <f ca="1">J61*J60/1000</f>
        <v>296</v>
      </c>
      <c r="K62" s="16">
        <f ca="1">K61*K60/1000</f>
        <v>296</v>
      </c>
      <c r="L62" s="16">
        <f ca="1">L61*L60/1000</f>
        <v>296</v>
      </c>
      <c r="M62" s="16">
        <f ca="1">M61*M60/1000</f>
        <v>296</v>
      </c>
      <c r="N62" s="16">
        <f ca="1">N61*N60/1000</f>
        <v>296</v>
      </c>
      <c r="O62" s="16">
        <f ca="1">O61*O60/1000</f>
        <v>296</v>
      </c>
      <c r="P62" s="16">
        <f ca="1">P61*P60/1000</f>
        <v>296</v>
      </c>
    </row>
    <row r="63" spans="1:16" x14ac:dyDescent="0.35">
      <c r="C63" s="9" t="s">
        <v>55</v>
      </c>
      <c r="D63" s="9" t="s">
        <v>56</v>
      </c>
      <c r="E63" s="32">
        <f ca="1">INDIRECT("Assumptions!"&amp;$D$57&amp;"13")</f>
        <v>1</v>
      </c>
      <c r="F63" s="19"/>
      <c r="G63" s="19">
        <f ca="1">$E$63</f>
        <v>1</v>
      </c>
      <c r="H63" s="19">
        <f ca="1">$E$63</f>
        <v>1</v>
      </c>
      <c r="I63" s="19">
        <f ca="1">$E$63</f>
        <v>1</v>
      </c>
      <c r="J63" s="19">
        <f ca="1">$E$63</f>
        <v>1</v>
      </c>
      <c r="K63" s="19">
        <f ca="1">$E$63</f>
        <v>1</v>
      </c>
      <c r="L63" s="19">
        <f ca="1">$E$63</f>
        <v>1</v>
      </c>
      <c r="M63" s="19">
        <f ca="1">$E$63</f>
        <v>1</v>
      </c>
      <c r="N63" s="19">
        <f ca="1">$E$63</f>
        <v>1</v>
      </c>
      <c r="O63" s="19">
        <f ca="1">$E$63</f>
        <v>1</v>
      </c>
      <c r="P63" s="19">
        <f ca="1">$E$63</f>
        <v>1</v>
      </c>
    </row>
    <row r="64" spans="1:16" x14ac:dyDescent="0.35">
      <c r="C64" s="9" t="s">
        <v>51</v>
      </c>
      <c r="D64" s="9" t="s">
        <v>56</v>
      </c>
      <c r="E64" s="32">
        <f ca="1">INDIRECT("Assumptions!"&amp;$D$57&amp;"14")</f>
        <v>0.92</v>
      </c>
      <c r="F64" s="19"/>
      <c r="G64" s="19">
        <f ca="1">$E$64</f>
        <v>0.92</v>
      </c>
      <c r="H64" s="19">
        <f ca="1">$E$64</f>
        <v>0.92</v>
      </c>
      <c r="I64" s="19">
        <f ca="1">$E$64</f>
        <v>0.92</v>
      </c>
      <c r="J64" s="19">
        <f ca="1">$E$64</f>
        <v>0.92</v>
      </c>
      <c r="K64" s="19">
        <f ca="1">$E$64</f>
        <v>0.92</v>
      </c>
      <c r="L64" s="19">
        <f ca="1">$E$64</f>
        <v>0.92</v>
      </c>
      <c r="M64" s="19">
        <f ca="1">$E$64</f>
        <v>0.92</v>
      </c>
      <c r="N64" s="19">
        <f ca="1">$E$64</f>
        <v>0.92</v>
      </c>
      <c r="O64" s="19">
        <f ca="1">$E$64</f>
        <v>0.92</v>
      </c>
      <c r="P64" s="19">
        <f ca="1">$E$64</f>
        <v>0.92</v>
      </c>
    </row>
    <row r="65" spans="1:16" x14ac:dyDescent="0.35">
      <c r="C65" s="9" t="s">
        <v>57</v>
      </c>
      <c r="D65" s="9" t="s">
        <v>54</v>
      </c>
      <c r="G65" s="16">
        <f ca="1">G62*G63</f>
        <v>296</v>
      </c>
      <c r="H65" s="16">
        <f ca="1">H62*H63</f>
        <v>296</v>
      </c>
      <c r="I65" s="16">
        <f ca="1">I62*I63</f>
        <v>296</v>
      </c>
      <c r="J65" s="16">
        <f ca="1">J62*J63</f>
        <v>296</v>
      </c>
      <c r="K65" s="16">
        <f ca="1">K62*K63</f>
        <v>296</v>
      </c>
      <c r="L65" s="16">
        <f ca="1">L62*L63</f>
        <v>296</v>
      </c>
      <c r="M65" s="16">
        <f ca="1">M62*M63</f>
        <v>296</v>
      </c>
      <c r="N65" s="16">
        <f ca="1">N62*N63</f>
        <v>296</v>
      </c>
      <c r="O65" s="16">
        <f ca="1">O62*O63</f>
        <v>296</v>
      </c>
      <c r="P65" s="16">
        <f ca="1">P62*P63</f>
        <v>296</v>
      </c>
    </row>
    <row r="66" spans="1:16" x14ac:dyDescent="0.35">
      <c r="C66" s="9" t="s">
        <v>145</v>
      </c>
      <c r="D66" s="9" t="s">
        <v>56</v>
      </c>
      <c r="G66" s="39">
        <f ca="1">G61/8760</f>
        <v>8.4474885844748864E-3</v>
      </c>
      <c r="H66" s="39">
        <f t="shared" ref="H66:P66" ca="1" si="0">H61/8760</f>
        <v>8.4474885844748864E-3</v>
      </c>
      <c r="I66" s="39">
        <f t="shared" ca="1" si="0"/>
        <v>8.4474885844748864E-3</v>
      </c>
      <c r="J66" s="39">
        <f t="shared" ca="1" si="0"/>
        <v>8.4474885844748864E-3</v>
      </c>
      <c r="K66" s="39">
        <f t="shared" ca="1" si="0"/>
        <v>8.4474885844748864E-3</v>
      </c>
      <c r="L66" s="39">
        <f t="shared" ca="1" si="0"/>
        <v>8.4474885844748864E-3</v>
      </c>
      <c r="M66" s="39">
        <f t="shared" ca="1" si="0"/>
        <v>8.4474885844748864E-3</v>
      </c>
      <c r="N66" s="39">
        <f t="shared" ca="1" si="0"/>
        <v>8.4474885844748864E-3</v>
      </c>
      <c r="O66" s="39">
        <f t="shared" ca="1" si="0"/>
        <v>8.4474885844748864E-3</v>
      </c>
      <c r="P66" s="39">
        <f t="shared" ca="1" si="0"/>
        <v>8.4474885844748864E-3</v>
      </c>
    </row>
    <row r="68" spans="1:16" s="34" customFormat="1" x14ac:dyDescent="0.35">
      <c r="A68" s="34" t="s">
        <v>120</v>
      </c>
    </row>
    <row r="69" spans="1:16" x14ac:dyDescent="0.35">
      <c r="B69" s="9" t="s">
        <v>117</v>
      </c>
    </row>
    <row r="70" spans="1:16" x14ac:dyDescent="0.35">
      <c r="C70" s="9" t="s">
        <v>59</v>
      </c>
      <c r="D70" s="9" t="s">
        <v>62</v>
      </c>
      <c r="E70" s="31">
        <v>462</v>
      </c>
    </row>
    <row r="71" spans="1:16" x14ac:dyDescent="0.35">
      <c r="C71" s="9" t="s">
        <v>60</v>
      </c>
      <c r="D71" s="9" t="s">
        <v>62</v>
      </c>
      <c r="E71" s="31">
        <v>51</v>
      </c>
    </row>
    <row r="72" spans="1:16" ht="15" thickBot="1" x14ac:dyDescent="0.4">
      <c r="C72" s="21" t="s">
        <v>61</v>
      </c>
      <c r="D72" s="21" t="s">
        <v>62</v>
      </c>
      <c r="E72" s="22">
        <f>SUM(E70:E71)</f>
        <v>513</v>
      </c>
      <c r="F72" s="8"/>
    </row>
    <row r="74" spans="1:16" x14ac:dyDescent="0.35">
      <c r="C74" s="9" t="s">
        <v>69</v>
      </c>
      <c r="D74" s="9" t="s">
        <v>66</v>
      </c>
      <c r="E74" s="33">
        <f ca="1">INDIRECT("Assumptions!"&amp;$D$57&amp;"21")</f>
        <v>1</v>
      </c>
      <c r="F74" s="20"/>
    </row>
    <row r="75" spans="1:16" x14ac:dyDescent="0.35">
      <c r="C75" s="9" t="s">
        <v>71</v>
      </c>
      <c r="D75" s="9" t="s">
        <v>66</v>
      </c>
      <c r="E75" s="33">
        <f ca="1">INDIRECT("Assumptions!"&amp;$D$57&amp;"22")</f>
        <v>0.95</v>
      </c>
      <c r="F75" s="20"/>
    </row>
    <row r="77" spans="1:16" x14ac:dyDescent="0.35">
      <c r="C77" s="9" t="s">
        <v>59</v>
      </c>
      <c r="D77" s="9" t="s">
        <v>62</v>
      </c>
      <c r="E77" s="20">
        <f ca="1">E70*E74</f>
        <v>462</v>
      </c>
    </row>
    <row r="78" spans="1:16" x14ac:dyDescent="0.35">
      <c r="C78" s="9" t="s">
        <v>60</v>
      </c>
      <c r="D78" s="9" t="s">
        <v>62</v>
      </c>
      <c r="E78" s="20">
        <f ca="1">E71*E75</f>
        <v>48.449999999999996</v>
      </c>
    </row>
    <row r="79" spans="1:16" ht="15" thickBot="1" x14ac:dyDescent="0.4">
      <c r="C79" s="21" t="s">
        <v>61</v>
      </c>
      <c r="D79" s="21" t="s">
        <v>62</v>
      </c>
      <c r="E79" s="22">
        <f ca="1">SUM(E77:E78)</f>
        <v>510.45</v>
      </c>
    </row>
    <row r="81" spans="2:6" x14ac:dyDescent="0.35">
      <c r="C81" s="9" t="s">
        <v>118</v>
      </c>
      <c r="D81" s="9" t="s">
        <v>50</v>
      </c>
      <c r="E81" s="23">
        <f ca="1">E60</f>
        <v>4000</v>
      </c>
      <c r="F81" s="23"/>
    </row>
    <row r="82" spans="2:6" x14ac:dyDescent="0.35">
      <c r="C82" s="9" t="s">
        <v>63</v>
      </c>
      <c r="D82" s="9" t="s">
        <v>65</v>
      </c>
      <c r="E82" s="23">
        <f ca="1">E81*E79</f>
        <v>2041800</v>
      </c>
      <c r="F82" s="23"/>
    </row>
    <row r="84" spans="2:6" x14ac:dyDescent="0.35">
      <c r="C84" s="9" t="s">
        <v>67</v>
      </c>
      <c r="D84" s="9" t="s">
        <v>68</v>
      </c>
      <c r="E84" s="32">
        <f ca="1">INDIRECT("Assumptions!"&amp;$D$57&amp;"17")</f>
        <v>0.19</v>
      </c>
      <c r="F84" s="19"/>
    </row>
    <row r="85" spans="2:6" x14ac:dyDescent="0.35">
      <c r="C85" s="9" t="s">
        <v>64</v>
      </c>
      <c r="D85" s="9" t="s">
        <v>66</v>
      </c>
      <c r="E85" s="33">
        <f ca="1">INDIRECT("Assumptions!"&amp;$D$57&amp;"23")</f>
        <v>1.1599999999999999</v>
      </c>
    </row>
    <row r="86" spans="2:6" x14ac:dyDescent="0.35">
      <c r="C86" s="9" t="s">
        <v>70</v>
      </c>
      <c r="D86" s="9" t="s">
        <v>65</v>
      </c>
      <c r="E86" s="16">
        <f ca="1">E82*E84*E85</f>
        <v>450012.72</v>
      </c>
      <c r="F86" s="23"/>
    </row>
    <row r="88" spans="2:6" ht="15" thickBot="1" x14ac:dyDescent="0.4">
      <c r="C88" s="21" t="s">
        <v>72</v>
      </c>
      <c r="D88" s="21" t="s">
        <v>65</v>
      </c>
      <c r="E88" s="24">
        <f ca="1">E86+E82</f>
        <v>2491812.7199999997</v>
      </c>
      <c r="F88" s="25"/>
    </row>
    <row r="89" spans="2:6" x14ac:dyDescent="0.35">
      <c r="C89" s="8"/>
      <c r="D89" s="8"/>
      <c r="E89" s="25"/>
      <c r="F89" s="25"/>
    </row>
    <row r="90" spans="2:6" x14ac:dyDescent="0.35">
      <c r="C90" s="8" t="s">
        <v>46</v>
      </c>
      <c r="D90" s="8" t="s">
        <v>47</v>
      </c>
      <c r="E90" s="14">
        <f ca="1">E58</f>
        <v>1000</v>
      </c>
      <c r="F90" s="25"/>
    </row>
    <row r="91" spans="2:6" x14ac:dyDescent="0.35">
      <c r="C91" s="8" t="s">
        <v>98</v>
      </c>
      <c r="D91" s="8" t="s">
        <v>99</v>
      </c>
      <c r="E91" s="20">
        <f ca="1">E88/E90</f>
        <v>2491.8127199999999</v>
      </c>
      <c r="F91" s="25"/>
    </row>
    <row r="92" spans="2:6" x14ac:dyDescent="0.35">
      <c r="F92" s="25"/>
    </row>
    <row r="93" spans="2:6" x14ac:dyDescent="0.35">
      <c r="B93" s="9" t="s">
        <v>116</v>
      </c>
    </row>
    <row r="94" spans="2:6" x14ac:dyDescent="0.35">
      <c r="C94" s="8" t="s">
        <v>90</v>
      </c>
      <c r="D94" s="8" t="s">
        <v>65</v>
      </c>
      <c r="E94" s="25">
        <f>-F53</f>
        <v>1949915</v>
      </c>
    </row>
    <row r="95" spans="2:6" x14ac:dyDescent="0.35">
      <c r="C95" s="8" t="s">
        <v>160</v>
      </c>
      <c r="D95" s="8" t="s">
        <v>161</v>
      </c>
      <c r="E95" s="48">
        <f ca="1">E94/E90</f>
        <v>1949.915</v>
      </c>
    </row>
    <row r="96" spans="2:6" x14ac:dyDescent="0.35">
      <c r="C96" s="8"/>
      <c r="D96" s="8"/>
      <c r="E96" s="25"/>
    </row>
    <row r="97" spans="1:6" x14ac:dyDescent="0.35">
      <c r="C97" s="8" t="s">
        <v>93</v>
      </c>
      <c r="D97" s="8" t="s">
        <v>65</v>
      </c>
      <c r="E97" s="25">
        <f>-I44</f>
        <v>48748</v>
      </c>
    </row>
    <row r="98" spans="1:6" x14ac:dyDescent="0.35">
      <c r="C98" s="8" t="s">
        <v>94</v>
      </c>
      <c r="D98" s="8" t="s">
        <v>56</v>
      </c>
      <c r="E98" s="32">
        <f ca="1">INDIRECT("Assumptions!"&amp;$D$57&amp;"16")</f>
        <v>0.02</v>
      </c>
    </row>
    <row r="99" spans="1:6" x14ac:dyDescent="0.35">
      <c r="C99" s="8" t="s">
        <v>102</v>
      </c>
      <c r="D99" s="8" t="s">
        <v>65</v>
      </c>
      <c r="E99" s="25">
        <f ca="1">E97/E98</f>
        <v>2437400</v>
      </c>
    </row>
    <row r="100" spans="1:6" x14ac:dyDescent="0.35">
      <c r="C100" s="8" t="s">
        <v>103</v>
      </c>
      <c r="D100" s="8" t="s">
        <v>65</v>
      </c>
      <c r="E100" s="25">
        <f ca="1">E88</f>
        <v>2491812.7199999997</v>
      </c>
    </row>
    <row r="101" spans="1:6" x14ac:dyDescent="0.35">
      <c r="C101" s="8"/>
      <c r="D101" s="8"/>
      <c r="E101" s="25"/>
    </row>
    <row r="102" spans="1:6" x14ac:dyDescent="0.35">
      <c r="C102" s="8" t="s">
        <v>100</v>
      </c>
      <c r="D102" s="8" t="s">
        <v>65</v>
      </c>
      <c r="E102" s="25">
        <f ca="1">E99-E94</f>
        <v>487485</v>
      </c>
    </row>
    <row r="103" spans="1:6" x14ac:dyDescent="0.35">
      <c r="C103" s="8" t="s">
        <v>101</v>
      </c>
      <c r="D103" s="8" t="s">
        <v>56</v>
      </c>
      <c r="E103" s="26">
        <f ca="1">E102/E99</f>
        <v>0.20000205136620988</v>
      </c>
    </row>
    <row r="104" spans="1:6" x14ac:dyDescent="0.35">
      <c r="F104" s="25"/>
    </row>
    <row r="105" spans="1:6" s="34" customFormat="1" x14ac:dyDescent="0.35">
      <c r="A105" s="34" t="s">
        <v>121</v>
      </c>
      <c r="F105" s="36"/>
    </row>
    <row r="106" spans="1:6" x14ac:dyDescent="0.35">
      <c r="B106" s="9" t="s">
        <v>73</v>
      </c>
    </row>
    <row r="107" spans="1:6" x14ac:dyDescent="0.35">
      <c r="C107" s="9" t="s">
        <v>74</v>
      </c>
      <c r="D107" s="9" t="s">
        <v>56</v>
      </c>
      <c r="E107" s="32">
        <f>Assumptions!E3</f>
        <v>2.5000000000000001E-2</v>
      </c>
      <c r="F107" s="18"/>
    </row>
    <row r="108" spans="1:6" x14ac:dyDescent="0.35">
      <c r="C108" s="9" t="s">
        <v>75</v>
      </c>
      <c r="D108" s="9" t="s">
        <v>76</v>
      </c>
      <c r="E108" s="31">
        <v>300</v>
      </c>
      <c r="F108" s="20"/>
    </row>
    <row r="109" spans="1:6" x14ac:dyDescent="0.35">
      <c r="C109" s="9" t="s">
        <v>77</v>
      </c>
      <c r="D109" s="9" t="s">
        <v>78</v>
      </c>
      <c r="E109" s="31">
        <v>8.7899999999999991</v>
      </c>
      <c r="F109" s="20"/>
    </row>
    <row r="111" spans="1:6" x14ac:dyDescent="0.35">
      <c r="B111" s="9" t="s">
        <v>79</v>
      </c>
    </row>
    <row r="112" spans="1:6" x14ac:dyDescent="0.35">
      <c r="C112" s="9" t="s">
        <v>80</v>
      </c>
      <c r="D112" s="9" t="s">
        <v>56</v>
      </c>
      <c r="E112" s="32">
        <f>Assumptions!E4</f>
        <v>2.2499999999999999E-2</v>
      </c>
      <c r="F112" s="18"/>
    </row>
    <row r="113" spans="1:16" x14ac:dyDescent="0.35">
      <c r="C113" s="9" t="s">
        <v>81</v>
      </c>
      <c r="D113" s="9" t="s">
        <v>56</v>
      </c>
      <c r="E113" s="32">
        <f>Assumptions!E5</f>
        <v>2.5000000000000001E-2</v>
      </c>
      <c r="F113" s="18"/>
    </row>
    <row r="114" spans="1:16" x14ac:dyDescent="0.35">
      <c r="C114" s="9" t="s">
        <v>82</v>
      </c>
      <c r="D114" s="9" t="s">
        <v>78</v>
      </c>
      <c r="E114" s="31">
        <v>24</v>
      </c>
      <c r="F114" s="20"/>
    </row>
    <row r="115" spans="1:16" x14ac:dyDescent="0.35">
      <c r="C115" s="9" t="s">
        <v>83</v>
      </c>
      <c r="D115" s="9" t="s">
        <v>56</v>
      </c>
      <c r="E115" s="32">
        <f ca="1">INDIRECT("Assumptions!"&amp;$D$57&amp;"18")</f>
        <v>1.6E-2</v>
      </c>
      <c r="F115" s="18"/>
    </row>
    <row r="116" spans="1:16" x14ac:dyDescent="0.35">
      <c r="C116" s="9" t="s">
        <v>84</v>
      </c>
      <c r="D116" s="9" t="s">
        <v>56</v>
      </c>
      <c r="E116" s="18">
        <f ca="1">E98</f>
        <v>0.02</v>
      </c>
      <c r="F116" s="18"/>
    </row>
    <row r="118" spans="1:16" x14ac:dyDescent="0.35">
      <c r="B118" s="9" t="s">
        <v>85</v>
      </c>
    </row>
    <row r="119" spans="1:16" x14ac:dyDescent="0.35">
      <c r="C119" s="9" t="s">
        <v>74</v>
      </c>
      <c r="G119" s="33">
        <f>Assumptions!G29</f>
        <v>1</v>
      </c>
      <c r="H119" s="33">
        <f>Assumptions!H29</f>
        <v>1.0249999999999999</v>
      </c>
      <c r="I119" s="33">
        <f>Assumptions!I29</f>
        <v>1.0506249999999999</v>
      </c>
      <c r="J119" s="33">
        <f>Assumptions!J29</f>
        <v>1.0768906249999999</v>
      </c>
      <c r="K119" s="33">
        <f>Assumptions!K29</f>
        <v>1.1038128906249998</v>
      </c>
      <c r="L119" s="33">
        <f>Assumptions!L29</f>
        <v>1.1314082128906247</v>
      </c>
      <c r="M119" s="33">
        <f>Assumptions!M29</f>
        <v>1.1596934182128902</v>
      </c>
      <c r="N119" s="33">
        <f>Assumptions!N29</f>
        <v>1.1886857536682123</v>
      </c>
      <c r="O119" s="33">
        <f>Assumptions!O29</f>
        <v>1.2184028975099175</v>
      </c>
      <c r="P119" s="33">
        <f>Assumptions!P29</f>
        <v>1.2488629699476652</v>
      </c>
    </row>
    <row r="120" spans="1:16" x14ac:dyDescent="0.35">
      <c r="C120" s="9" t="s">
        <v>79</v>
      </c>
      <c r="G120" s="33">
        <f>Assumptions!G30</f>
        <v>1</v>
      </c>
      <c r="H120" s="33">
        <f>Assumptions!H30</f>
        <v>1.0225</v>
      </c>
      <c r="I120" s="33">
        <f>Assumptions!I30</f>
        <v>1.0455062499999999</v>
      </c>
      <c r="J120" s="33">
        <f>Assumptions!J30</f>
        <v>1.0690301406249998</v>
      </c>
      <c r="K120" s="33">
        <f>Assumptions!K30</f>
        <v>1.0930833187890623</v>
      </c>
      <c r="L120" s="33">
        <f>Assumptions!L30</f>
        <v>1.1176776934618162</v>
      </c>
      <c r="M120" s="33">
        <f>Assumptions!M30</f>
        <v>1.142825441564707</v>
      </c>
      <c r="N120" s="33">
        <f>Assumptions!N30</f>
        <v>1.1685390139999128</v>
      </c>
      <c r="O120" s="33">
        <f>Assumptions!O30</f>
        <v>1.1948311418149107</v>
      </c>
      <c r="P120" s="33">
        <f>Assumptions!P30</f>
        <v>1.221714842505746</v>
      </c>
    </row>
    <row r="121" spans="1:16" x14ac:dyDescent="0.35">
      <c r="C121" s="9" t="s">
        <v>82</v>
      </c>
      <c r="G121" s="33">
        <f>Assumptions!G31</f>
        <v>1</v>
      </c>
      <c r="H121" s="33">
        <f>Assumptions!H31</f>
        <v>1.0249999999999999</v>
      </c>
      <c r="I121" s="33">
        <f>Assumptions!I31</f>
        <v>1.0506249999999999</v>
      </c>
      <c r="J121" s="33">
        <f>Assumptions!J31</f>
        <v>1.0768906249999999</v>
      </c>
      <c r="K121" s="33">
        <f>Assumptions!K31</f>
        <v>1.1038128906249998</v>
      </c>
      <c r="L121" s="33">
        <f>Assumptions!L31</f>
        <v>1.1314082128906247</v>
      </c>
      <c r="M121" s="33">
        <f>Assumptions!M31</f>
        <v>1.1596934182128902</v>
      </c>
      <c r="N121" s="33">
        <f>Assumptions!N31</f>
        <v>1.1886857536682123</v>
      </c>
      <c r="O121" s="33">
        <f>Assumptions!O31</f>
        <v>1.2184028975099175</v>
      </c>
      <c r="P121" s="33">
        <f>Assumptions!P31</f>
        <v>1.2488629699476652</v>
      </c>
    </row>
    <row r="123" spans="1:16" x14ac:dyDescent="0.35">
      <c r="C123" s="9" t="s">
        <v>86</v>
      </c>
      <c r="D123" s="9" t="s">
        <v>87</v>
      </c>
      <c r="E123" s="20">
        <f>E108</f>
        <v>300</v>
      </c>
      <c r="F123" s="20"/>
      <c r="G123" s="20">
        <f>$E123*G119</f>
        <v>300</v>
      </c>
      <c r="H123" s="20">
        <f t="shared" ref="H123:P123" si="1">$E123*H119</f>
        <v>307.5</v>
      </c>
      <c r="I123" s="20">
        <f t="shared" si="1"/>
        <v>315.1875</v>
      </c>
      <c r="J123" s="20">
        <f t="shared" si="1"/>
        <v>323.06718749999999</v>
      </c>
      <c r="K123" s="20">
        <f t="shared" si="1"/>
        <v>331.14386718749995</v>
      </c>
      <c r="L123" s="20">
        <f t="shared" si="1"/>
        <v>339.42246386718739</v>
      </c>
      <c r="M123" s="20">
        <f t="shared" si="1"/>
        <v>347.90802546386703</v>
      </c>
      <c r="N123" s="20">
        <f t="shared" si="1"/>
        <v>356.6057261004637</v>
      </c>
      <c r="O123" s="20">
        <f t="shared" si="1"/>
        <v>365.52086925297522</v>
      </c>
      <c r="P123" s="20">
        <f t="shared" si="1"/>
        <v>374.65889098429955</v>
      </c>
    </row>
    <row r="124" spans="1:16" x14ac:dyDescent="0.35">
      <c r="C124" s="9" t="s">
        <v>126</v>
      </c>
      <c r="D124" s="9" t="s">
        <v>88</v>
      </c>
      <c r="E124" s="20">
        <f>E109</f>
        <v>8.7899999999999991</v>
      </c>
      <c r="F124" s="20"/>
      <c r="G124" s="20">
        <f>$E124*G119</f>
        <v>8.7899999999999991</v>
      </c>
      <c r="H124" s="20">
        <f t="shared" ref="H124:P124" si="2">$E124*H119</f>
        <v>9.0097499999999986</v>
      </c>
      <c r="I124" s="20">
        <f t="shared" si="2"/>
        <v>9.2349937499999992</v>
      </c>
      <c r="J124" s="20">
        <f t="shared" si="2"/>
        <v>9.4658685937499989</v>
      </c>
      <c r="K124" s="20">
        <f t="shared" si="2"/>
        <v>9.7025153085937461</v>
      </c>
      <c r="L124" s="20">
        <f t="shared" si="2"/>
        <v>9.9450781913085891</v>
      </c>
      <c r="M124" s="20">
        <f t="shared" si="2"/>
        <v>10.193705146091304</v>
      </c>
      <c r="N124" s="20">
        <f t="shared" si="2"/>
        <v>10.448547774743584</v>
      </c>
      <c r="O124" s="20">
        <f t="shared" si="2"/>
        <v>10.709761469112173</v>
      </c>
      <c r="P124" s="20">
        <f t="shared" si="2"/>
        <v>10.977505505839977</v>
      </c>
    </row>
    <row r="126" spans="1:16" s="34" customFormat="1" x14ac:dyDescent="0.35">
      <c r="A126" s="34" t="s">
        <v>123</v>
      </c>
      <c r="C126" s="35"/>
      <c r="D126" s="35"/>
      <c r="E126" s="36"/>
    </row>
    <row r="127" spans="1:16" x14ac:dyDescent="0.35">
      <c r="C127" s="8" t="s">
        <v>80</v>
      </c>
      <c r="D127" s="8" t="s">
        <v>56</v>
      </c>
      <c r="E127" s="26">
        <f ca="1">E115</f>
        <v>1.6E-2</v>
      </c>
      <c r="G127" s="18">
        <f ca="1">$E127</f>
        <v>1.6E-2</v>
      </c>
      <c r="H127" s="18">
        <f t="shared" ref="H127:P127" ca="1" si="3">$E127</f>
        <v>1.6E-2</v>
      </c>
      <c r="I127" s="18">
        <f t="shared" ca="1" si="3"/>
        <v>1.6E-2</v>
      </c>
      <c r="J127" s="18">
        <f t="shared" ca="1" si="3"/>
        <v>1.6E-2</v>
      </c>
      <c r="K127" s="18">
        <f t="shared" ca="1" si="3"/>
        <v>1.6E-2</v>
      </c>
      <c r="L127" s="18">
        <f t="shared" ca="1" si="3"/>
        <v>1.6E-2</v>
      </c>
      <c r="M127" s="18">
        <f t="shared" ca="1" si="3"/>
        <v>1.6E-2</v>
      </c>
      <c r="N127" s="18">
        <f t="shared" ca="1" si="3"/>
        <v>1.6E-2</v>
      </c>
      <c r="O127" s="18">
        <f t="shared" ca="1" si="3"/>
        <v>1.6E-2</v>
      </c>
      <c r="P127" s="18">
        <f t="shared" ca="1" si="3"/>
        <v>1.6E-2</v>
      </c>
    </row>
    <row r="128" spans="1:16" x14ac:dyDescent="0.35">
      <c r="C128" s="8" t="s">
        <v>96</v>
      </c>
      <c r="D128" s="8" t="s">
        <v>65</v>
      </c>
      <c r="E128" s="25"/>
      <c r="G128" s="20">
        <f>-G43</f>
        <v>38793</v>
      </c>
      <c r="H128" s="20">
        <f t="shared" ref="H128:P128" si="4">-H43</f>
        <v>39666</v>
      </c>
      <c r="I128" s="20">
        <f t="shared" si="4"/>
        <v>40558</v>
      </c>
      <c r="J128" s="20">
        <f t="shared" si="4"/>
        <v>41471</v>
      </c>
      <c r="K128" s="20">
        <f t="shared" si="4"/>
        <v>42404</v>
      </c>
      <c r="L128" s="20">
        <f t="shared" si="4"/>
        <v>43358</v>
      </c>
      <c r="M128" s="20">
        <f t="shared" si="4"/>
        <v>44333</v>
      </c>
      <c r="N128" s="20">
        <f t="shared" si="4"/>
        <v>45331</v>
      </c>
      <c r="O128" s="20">
        <f t="shared" si="4"/>
        <v>46351</v>
      </c>
      <c r="P128" s="20">
        <f t="shared" si="4"/>
        <v>47394</v>
      </c>
    </row>
    <row r="129" spans="1:16" x14ac:dyDescent="0.35">
      <c r="C129" s="8" t="s">
        <v>95</v>
      </c>
      <c r="D129" s="8" t="s">
        <v>65</v>
      </c>
      <c r="E129" s="25">
        <f ca="1">E99</f>
        <v>2437400</v>
      </c>
      <c r="G129" s="20">
        <f ca="1">$E129*G127</f>
        <v>38998.400000000001</v>
      </c>
      <c r="H129" s="20">
        <f ca="1">$E$129*H127</f>
        <v>38998.400000000001</v>
      </c>
      <c r="I129" s="20">
        <f ca="1">$E$129*I127</f>
        <v>38998.400000000001</v>
      </c>
      <c r="J129" s="20">
        <f ca="1">$E$129*J127</f>
        <v>38998.400000000001</v>
      </c>
      <c r="K129" s="20">
        <f ca="1">$E$129*K127</f>
        <v>38998.400000000001</v>
      </c>
      <c r="L129" s="20">
        <f ca="1">$E$129*L127</f>
        <v>38998.400000000001</v>
      </c>
      <c r="M129" s="20">
        <f ca="1">$E$129*M127</f>
        <v>38998.400000000001</v>
      </c>
      <c r="N129" s="20">
        <f ca="1">$E$129*N127</f>
        <v>38998.400000000001</v>
      </c>
      <c r="O129" s="20">
        <f ca="1">$E$129*O127</f>
        <v>38998.400000000001</v>
      </c>
      <c r="P129" s="20">
        <f ca="1">$E$129*P127</f>
        <v>38998.400000000001</v>
      </c>
    </row>
    <row r="130" spans="1:16" x14ac:dyDescent="0.35">
      <c r="C130" s="8" t="s">
        <v>125</v>
      </c>
      <c r="D130" s="8" t="s">
        <v>65</v>
      </c>
      <c r="E130" s="25"/>
      <c r="G130" s="20">
        <f ca="1">G129*G120</f>
        <v>38998.400000000001</v>
      </c>
      <c r="H130" s="20">
        <f t="shared" ref="H130:P130" ca="1" si="5">H129*H120</f>
        <v>39875.864000000001</v>
      </c>
      <c r="I130" s="20">
        <f t="shared" ca="1" si="5"/>
        <v>40773.070939999998</v>
      </c>
      <c r="J130" s="20">
        <f t="shared" ca="1" si="5"/>
        <v>41690.465036149995</v>
      </c>
      <c r="K130" s="20">
        <f t="shared" ca="1" si="5"/>
        <v>42628.500499463371</v>
      </c>
      <c r="L130" s="20">
        <f t="shared" ca="1" si="5"/>
        <v>43587.641760701299</v>
      </c>
      <c r="M130" s="20">
        <f t="shared" ca="1" si="5"/>
        <v>44568.363700317073</v>
      </c>
      <c r="N130" s="20">
        <f t="shared" ca="1" si="5"/>
        <v>45571.151883574203</v>
      </c>
      <c r="O130" s="20">
        <f t="shared" ca="1" si="5"/>
        <v>46596.502800954615</v>
      </c>
      <c r="P130" s="20">
        <f t="shared" ca="1" si="5"/>
        <v>47644.924113976085</v>
      </c>
    </row>
    <row r="131" spans="1:16" x14ac:dyDescent="0.35">
      <c r="C131" s="8" t="s">
        <v>124</v>
      </c>
      <c r="D131" s="8" t="s">
        <v>65</v>
      </c>
      <c r="E131" s="25"/>
      <c r="G131" s="20">
        <f ca="1">G130-G128</f>
        <v>205.40000000000146</v>
      </c>
      <c r="H131" s="20">
        <f t="shared" ref="H131:P131" ca="1" si="6">H130-H128</f>
        <v>209.8640000000014</v>
      </c>
      <c r="I131" s="20">
        <f t="shared" ca="1" si="6"/>
        <v>215.07093999999779</v>
      </c>
      <c r="J131" s="20">
        <f t="shared" ca="1" si="6"/>
        <v>219.46503614999529</v>
      </c>
      <c r="K131" s="20">
        <f t="shared" ca="1" si="6"/>
        <v>224.50049946337094</v>
      </c>
      <c r="L131" s="20">
        <f t="shared" ca="1" si="6"/>
        <v>229.64176070129906</v>
      </c>
      <c r="M131" s="20">
        <f t="shared" ca="1" si="6"/>
        <v>235.36370031707338</v>
      </c>
      <c r="N131" s="20">
        <f t="shared" ca="1" si="6"/>
        <v>240.15188357420266</v>
      </c>
      <c r="O131" s="20">
        <f t="shared" ca="1" si="6"/>
        <v>245.50280095461494</v>
      </c>
      <c r="P131" s="20">
        <f t="shared" ca="1" si="6"/>
        <v>250.92411397608521</v>
      </c>
    </row>
    <row r="132" spans="1:16" x14ac:dyDescent="0.35">
      <c r="C132" s="8" t="s">
        <v>101</v>
      </c>
      <c r="D132" s="8"/>
      <c r="E132" s="25"/>
      <c r="G132" s="18">
        <f ca="1">G131/G129</f>
        <v>5.2668827439074795E-3</v>
      </c>
      <c r="H132" s="18">
        <f t="shared" ref="H132:P132" ca="1" si="7">H131/H129</f>
        <v>5.3813489784196632E-3</v>
      </c>
      <c r="I132" s="18">
        <f t="shared" ca="1" si="7"/>
        <v>5.5148657380815055E-3</v>
      </c>
      <c r="J132" s="18">
        <f t="shared" ca="1" si="7"/>
        <v>5.6275394926457306E-3</v>
      </c>
      <c r="K132" s="18">
        <f t="shared" ca="1" si="7"/>
        <v>5.7566592337985898E-3</v>
      </c>
      <c r="L132" s="18">
        <f t="shared" ca="1" si="7"/>
        <v>5.8884918535452493E-3</v>
      </c>
      <c r="M132" s="18">
        <f t="shared" ca="1" si="7"/>
        <v>6.0352142733310432E-3</v>
      </c>
      <c r="N132" s="18">
        <f t="shared" ca="1" si="7"/>
        <v>6.1579932400868407E-3</v>
      </c>
      <c r="O132" s="18">
        <f t="shared" ca="1" si="7"/>
        <v>6.2952018789133642E-3</v>
      </c>
      <c r="P132" s="18">
        <f t="shared" ca="1" si="7"/>
        <v>6.4342156082322658E-3</v>
      </c>
    </row>
    <row r="133" spans="1:16" x14ac:dyDescent="0.35">
      <c r="C133" s="8"/>
      <c r="D133" s="8"/>
      <c r="E133" s="26"/>
      <c r="G133" s="18"/>
      <c r="H133" s="18"/>
      <c r="I133" s="18"/>
      <c r="J133" s="18"/>
      <c r="K133" s="18"/>
      <c r="L133" s="18"/>
      <c r="M133" s="18"/>
      <c r="N133" s="18"/>
      <c r="O133" s="18"/>
      <c r="P133" s="18"/>
    </row>
    <row r="134" spans="1:16" x14ac:dyDescent="0.35">
      <c r="C134" s="9" t="s">
        <v>127</v>
      </c>
      <c r="D134" s="9" t="s">
        <v>65</v>
      </c>
      <c r="E134" s="23">
        <f>-G42</f>
        <v>46591</v>
      </c>
      <c r="F134" s="20"/>
      <c r="G134" s="20">
        <f>-G45</f>
        <v>7798</v>
      </c>
      <c r="H134" s="20">
        <f t="shared" ref="H134:P134" si="8">-H45</f>
        <v>7992</v>
      </c>
      <c r="I134" s="20">
        <f t="shared" si="8"/>
        <v>8190</v>
      </c>
      <c r="J134" s="20">
        <f t="shared" si="8"/>
        <v>8393</v>
      </c>
      <c r="K134" s="20">
        <f t="shared" si="8"/>
        <v>8601</v>
      </c>
      <c r="L134" s="20">
        <f t="shared" si="8"/>
        <v>8814</v>
      </c>
      <c r="M134" s="20">
        <f t="shared" si="8"/>
        <v>9033</v>
      </c>
      <c r="N134" s="20">
        <f t="shared" si="8"/>
        <v>9257</v>
      </c>
      <c r="O134" s="20">
        <f t="shared" si="8"/>
        <v>9487</v>
      </c>
      <c r="P134" s="20">
        <f t="shared" si="8"/>
        <v>9722</v>
      </c>
    </row>
    <row r="135" spans="1:16" x14ac:dyDescent="0.35">
      <c r="C135" s="9" t="s">
        <v>91</v>
      </c>
      <c r="D135" s="9" t="s">
        <v>65</v>
      </c>
      <c r="E135" s="20">
        <f>E114</f>
        <v>24</v>
      </c>
      <c r="F135" s="20"/>
      <c r="G135" s="20">
        <f>$E135*G121</f>
        <v>24</v>
      </c>
      <c r="H135" s="20">
        <f t="shared" ref="H135:P135" si="9">$E135*H121</f>
        <v>24.599999999999998</v>
      </c>
      <c r="I135" s="20">
        <f t="shared" si="9"/>
        <v>25.214999999999996</v>
      </c>
      <c r="J135" s="20">
        <f t="shared" si="9"/>
        <v>25.845374999999997</v>
      </c>
      <c r="K135" s="20">
        <f t="shared" si="9"/>
        <v>26.491509374999993</v>
      </c>
      <c r="L135" s="20">
        <f t="shared" si="9"/>
        <v>27.153797109374992</v>
      </c>
      <c r="M135" s="20">
        <f t="shared" si="9"/>
        <v>27.832642037109366</v>
      </c>
      <c r="N135" s="20">
        <f t="shared" si="9"/>
        <v>28.528458088037095</v>
      </c>
      <c r="O135" s="20">
        <f t="shared" si="9"/>
        <v>29.241669540238021</v>
      </c>
      <c r="P135" s="20">
        <f t="shared" si="9"/>
        <v>29.972711278743965</v>
      </c>
    </row>
    <row r="136" spans="1:16" x14ac:dyDescent="0.35">
      <c r="C136" s="9" t="s">
        <v>128</v>
      </c>
      <c r="D136" s="9" t="s">
        <v>54</v>
      </c>
      <c r="G136" s="20">
        <f>G134/G135</f>
        <v>324.91666666666669</v>
      </c>
      <c r="H136" s="20">
        <f t="shared" ref="H136:P136" si="10">H134/H135</f>
        <v>324.87804878048786</v>
      </c>
      <c r="I136" s="20">
        <f t="shared" si="10"/>
        <v>324.80666270077342</v>
      </c>
      <c r="J136" s="20">
        <f t="shared" si="10"/>
        <v>324.73895232706047</v>
      </c>
      <c r="K136" s="20">
        <f t="shared" si="10"/>
        <v>324.67006233011222</v>
      </c>
      <c r="L136" s="20">
        <f t="shared" si="10"/>
        <v>324.59548712459519</v>
      </c>
      <c r="M136" s="20">
        <f t="shared" si="10"/>
        <v>324.54698292588489</v>
      </c>
      <c r="N136" s="20">
        <f t="shared" si="10"/>
        <v>324.48301171530051</v>
      </c>
      <c r="O136" s="20">
        <f t="shared" si="10"/>
        <v>324.43427988765848</v>
      </c>
      <c r="P136" s="20">
        <f t="shared" si="10"/>
        <v>324.36171387987326</v>
      </c>
    </row>
    <row r="137" spans="1:16" x14ac:dyDescent="0.35"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x14ac:dyDescent="0.35">
      <c r="C138" s="9" t="s">
        <v>51</v>
      </c>
      <c r="D138" s="9" t="s">
        <v>56</v>
      </c>
      <c r="E138" s="19">
        <f ca="1">E64</f>
        <v>0.92</v>
      </c>
      <c r="G138" s="19">
        <f ca="1">$E138</f>
        <v>0.92</v>
      </c>
      <c r="H138" s="19">
        <f t="shared" ref="H138:P138" ca="1" si="11">$E138</f>
        <v>0.92</v>
      </c>
      <c r="I138" s="19">
        <f t="shared" ca="1" si="11"/>
        <v>0.92</v>
      </c>
      <c r="J138" s="19">
        <f t="shared" ca="1" si="11"/>
        <v>0.92</v>
      </c>
      <c r="K138" s="19">
        <f t="shared" ca="1" si="11"/>
        <v>0.92</v>
      </c>
      <c r="L138" s="19">
        <f t="shared" ca="1" si="11"/>
        <v>0.92</v>
      </c>
      <c r="M138" s="19">
        <f t="shared" ca="1" si="11"/>
        <v>0.92</v>
      </c>
      <c r="N138" s="19">
        <f t="shared" ca="1" si="11"/>
        <v>0.92</v>
      </c>
      <c r="O138" s="19">
        <f t="shared" ca="1" si="11"/>
        <v>0.92</v>
      </c>
      <c r="P138" s="19">
        <f t="shared" ca="1" si="11"/>
        <v>0.92</v>
      </c>
    </row>
    <row r="139" spans="1:16" x14ac:dyDescent="0.35">
      <c r="C139" s="9" t="s">
        <v>92</v>
      </c>
      <c r="D139" s="9" t="s">
        <v>54</v>
      </c>
      <c r="E139" s="19"/>
      <c r="G139" s="20">
        <f ca="1">G138*G136</f>
        <v>298.92333333333335</v>
      </c>
      <c r="H139" s="20">
        <f t="shared" ref="H139:P139" ca="1" si="12">H138*H136</f>
        <v>298.88780487804883</v>
      </c>
      <c r="I139" s="20">
        <f t="shared" ca="1" si="12"/>
        <v>298.82212968471157</v>
      </c>
      <c r="J139" s="20">
        <f t="shared" ca="1" si="12"/>
        <v>298.75983614089563</v>
      </c>
      <c r="K139" s="20">
        <f t="shared" ca="1" si="12"/>
        <v>298.69645734370323</v>
      </c>
      <c r="L139" s="20">
        <f t="shared" ca="1" si="12"/>
        <v>298.6278481546276</v>
      </c>
      <c r="M139" s="20">
        <f t="shared" ca="1" si="12"/>
        <v>298.58322429181413</v>
      </c>
      <c r="N139" s="20">
        <f t="shared" ca="1" si="12"/>
        <v>298.5243707780765</v>
      </c>
      <c r="O139" s="20">
        <f t="shared" ca="1" si="12"/>
        <v>298.47953749664583</v>
      </c>
      <c r="P139" s="20">
        <f t="shared" ca="1" si="12"/>
        <v>298.4127767694834</v>
      </c>
    </row>
    <row r="140" spans="1:16" x14ac:dyDescent="0.35">
      <c r="C140" s="9" t="s">
        <v>105</v>
      </c>
      <c r="E140" s="19"/>
      <c r="G140" s="20"/>
      <c r="H140" s="18">
        <f ca="1">H139/G139-1</f>
        <v>-1.1885474074013747E-4</v>
      </c>
      <c r="I140" s="18">
        <f t="shared" ref="I140:P140" ca="1" si="13">I139/H139-1</f>
        <v>-2.1973192704882738E-4</v>
      </c>
      <c r="J140" s="18">
        <f t="shared" ca="1" si="13"/>
        <v>-2.084636230980097E-4</v>
      </c>
      <c r="K140" s="18">
        <f t="shared" ca="1" si="13"/>
        <v>-2.1213961692800876E-4</v>
      </c>
      <c r="L140" s="18">
        <f t="shared" ca="1" si="13"/>
        <v>-2.2969535590000589E-4</v>
      </c>
      <c r="M140" s="18">
        <f t="shared" ca="1" si="13"/>
        <v>-1.4942967673381435E-4</v>
      </c>
      <c r="N140" s="18">
        <f t="shared" ca="1" si="13"/>
        <v>-1.9710924442328803E-4</v>
      </c>
      <c r="O140" s="18">
        <f t="shared" ca="1" si="13"/>
        <v>-1.5018298611202407E-4</v>
      </c>
      <c r="P140" s="18">
        <f t="shared" ca="1" si="13"/>
        <v>-2.2366936012552241E-4</v>
      </c>
    </row>
    <row r="141" spans="1:16" x14ac:dyDescent="0.35">
      <c r="C141" s="9" t="s">
        <v>146</v>
      </c>
      <c r="D141" s="9" t="s">
        <v>54</v>
      </c>
      <c r="E141" s="19"/>
      <c r="G141" s="20">
        <f ca="1">G62</f>
        <v>296</v>
      </c>
      <c r="H141" s="20">
        <f t="shared" ref="H141:P141" ca="1" si="14">H62</f>
        <v>296</v>
      </c>
      <c r="I141" s="20">
        <f t="shared" ca="1" si="14"/>
        <v>296</v>
      </c>
      <c r="J141" s="20">
        <f t="shared" ca="1" si="14"/>
        <v>296</v>
      </c>
      <c r="K141" s="20">
        <f t="shared" ca="1" si="14"/>
        <v>296</v>
      </c>
      <c r="L141" s="20">
        <f t="shared" ca="1" si="14"/>
        <v>296</v>
      </c>
      <c r="M141" s="20">
        <f t="shared" ca="1" si="14"/>
        <v>296</v>
      </c>
      <c r="N141" s="20">
        <f t="shared" ca="1" si="14"/>
        <v>296</v>
      </c>
      <c r="O141" s="20">
        <f t="shared" ca="1" si="14"/>
        <v>296</v>
      </c>
      <c r="P141" s="20">
        <f t="shared" ca="1" si="14"/>
        <v>296</v>
      </c>
    </row>
    <row r="143" spans="1:16" s="34" customFormat="1" x14ac:dyDescent="0.35">
      <c r="A143" s="34" t="s">
        <v>129</v>
      </c>
    </row>
    <row r="144" spans="1:16" x14ac:dyDescent="0.35">
      <c r="C144" s="9" t="s">
        <v>97</v>
      </c>
      <c r="D144" s="9" t="s">
        <v>131</v>
      </c>
      <c r="G144" s="23">
        <f>G40</f>
        <v>0</v>
      </c>
      <c r="H144" s="23">
        <f t="shared" ref="H144:P144" si="15">H40</f>
        <v>0</v>
      </c>
      <c r="I144" s="23">
        <f t="shared" si="15"/>
        <v>0</v>
      </c>
      <c r="J144" s="23">
        <f t="shared" si="15"/>
        <v>0</v>
      </c>
      <c r="K144" s="23">
        <f t="shared" si="15"/>
        <v>0</v>
      </c>
      <c r="L144" s="23">
        <f t="shared" si="15"/>
        <v>0</v>
      </c>
      <c r="M144" s="23">
        <f t="shared" si="15"/>
        <v>0</v>
      </c>
      <c r="N144" s="23">
        <f t="shared" si="15"/>
        <v>0</v>
      </c>
      <c r="O144" s="23">
        <f t="shared" si="15"/>
        <v>0</v>
      </c>
      <c r="P144" s="23">
        <f t="shared" si="15"/>
        <v>0</v>
      </c>
    </row>
    <row r="145" spans="3:16" x14ac:dyDescent="0.35">
      <c r="C145" s="9" t="s">
        <v>130</v>
      </c>
      <c r="D145" s="9" t="s">
        <v>88</v>
      </c>
      <c r="G145" s="20">
        <f>G124</f>
        <v>8.7899999999999991</v>
      </c>
      <c r="H145" s="20">
        <f>H124</f>
        <v>9.0097499999999986</v>
      </c>
      <c r="I145" s="20">
        <f>I124</f>
        <v>9.2349937499999992</v>
      </c>
      <c r="J145" s="20">
        <f>J124</f>
        <v>9.4658685937499989</v>
      </c>
      <c r="K145" s="20">
        <f>K124</f>
        <v>9.7025153085937461</v>
      </c>
      <c r="L145" s="20">
        <f>L124</f>
        <v>9.9450781913085891</v>
      </c>
      <c r="M145" s="20">
        <f>M124</f>
        <v>10.193705146091304</v>
      </c>
      <c r="N145" s="20">
        <f>N124</f>
        <v>10.448547774743584</v>
      </c>
      <c r="O145" s="20">
        <f>O124</f>
        <v>10.709761469112173</v>
      </c>
      <c r="P145" s="20">
        <f>P124</f>
        <v>10.977505505839977</v>
      </c>
    </row>
    <row r="146" spans="3:16" x14ac:dyDescent="0.35">
      <c r="C146" s="9" t="s">
        <v>149</v>
      </c>
      <c r="D146" s="9" t="s">
        <v>54</v>
      </c>
      <c r="G146" s="20">
        <f>G144/G145</f>
        <v>0</v>
      </c>
      <c r="H146" s="20">
        <f t="shared" ref="H146:P146" si="16">H144/H145</f>
        <v>0</v>
      </c>
      <c r="I146" s="20">
        <f t="shared" si="16"/>
        <v>0</v>
      </c>
      <c r="J146" s="20">
        <f t="shared" si="16"/>
        <v>0</v>
      </c>
      <c r="K146" s="20">
        <f t="shared" si="16"/>
        <v>0</v>
      </c>
      <c r="L146" s="20">
        <f t="shared" si="16"/>
        <v>0</v>
      </c>
      <c r="M146" s="20">
        <f t="shared" si="16"/>
        <v>0</v>
      </c>
      <c r="N146" s="20">
        <f t="shared" si="16"/>
        <v>0</v>
      </c>
      <c r="O146" s="20">
        <f t="shared" si="16"/>
        <v>0</v>
      </c>
      <c r="P146" s="20">
        <f t="shared" si="16"/>
        <v>0</v>
      </c>
    </row>
    <row r="148" spans="3:16" x14ac:dyDescent="0.35">
      <c r="C148" s="9" t="s">
        <v>132</v>
      </c>
      <c r="D148" s="9" t="s">
        <v>65</v>
      </c>
      <c r="G148" s="23">
        <f>G38+G39</f>
        <v>354163</v>
      </c>
      <c r="H148" s="23">
        <f t="shared" ref="H148:P148" si="17">H38+H39</f>
        <v>363017</v>
      </c>
      <c r="I148" s="23">
        <f t="shared" si="17"/>
        <v>372093</v>
      </c>
      <c r="J148" s="23">
        <f t="shared" si="17"/>
        <v>381395</v>
      </c>
      <c r="K148" s="23">
        <f t="shared" si="17"/>
        <v>390930</v>
      </c>
      <c r="L148" s="23">
        <f t="shared" si="17"/>
        <v>400703</v>
      </c>
      <c r="M148" s="23">
        <f t="shared" si="17"/>
        <v>410721</v>
      </c>
      <c r="N148" s="23">
        <f t="shared" si="17"/>
        <v>420989</v>
      </c>
      <c r="O148" s="23">
        <f t="shared" si="17"/>
        <v>431513</v>
      </c>
      <c r="P148" s="23">
        <f t="shared" si="17"/>
        <v>442301</v>
      </c>
    </row>
    <row r="149" spans="3:16" x14ac:dyDescent="0.35">
      <c r="C149" s="9" t="s">
        <v>162</v>
      </c>
      <c r="D149" s="9" t="s">
        <v>47</v>
      </c>
      <c r="E149" s="16">
        <f ca="1">E58</f>
        <v>1000</v>
      </c>
      <c r="G149" s="14">
        <f ca="1">$E149</f>
        <v>1000</v>
      </c>
      <c r="H149" s="14">
        <f t="shared" ref="H149:P149" ca="1" si="18">$E149</f>
        <v>1000</v>
      </c>
      <c r="I149" s="14">
        <f t="shared" ca="1" si="18"/>
        <v>1000</v>
      </c>
      <c r="J149" s="14">
        <f t="shared" ca="1" si="18"/>
        <v>1000</v>
      </c>
      <c r="K149" s="14">
        <f t="shared" ca="1" si="18"/>
        <v>1000</v>
      </c>
      <c r="L149" s="14">
        <f t="shared" ca="1" si="18"/>
        <v>1000</v>
      </c>
      <c r="M149" s="14">
        <f t="shared" ca="1" si="18"/>
        <v>1000</v>
      </c>
      <c r="N149" s="14">
        <f t="shared" ca="1" si="18"/>
        <v>1000</v>
      </c>
      <c r="O149" s="14">
        <f t="shared" ca="1" si="18"/>
        <v>1000</v>
      </c>
      <c r="P149" s="14">
        <f t="shared" ca="1" si="18"/>
        <v>1000</v>
      </c>
    </row>
    <row r="150" spans="3:16" x14ac:dyDescent="0.35">
      <c r="C150" s="9" t="s">
        <v>133</v>
      </c>
      <c r="D150" s="9" t="s">
        <v>87</v>
      </c>
      <c r="G150" s="20">
        <f ca="1">G148/G149</f>
        <v>354.16300000000001</v>
      </c>
      <c r="H150" s="20">
        <f t="shared" ref="H150:P150" ca="1" si="19">H148/H149</f>
        <v>363.017</v>
      </c>
      <c r="I150" s="20">
        <f t="shared" ca="1" si="19"/>
        <v>372.09300000000002</v>
      </c>
      <c r="J150" s="20">
        <f t="shared" ca="1" si="19"/>
        <v>381.39499999999998</v>
      </c>
      <c r="K150" s="20">
        <f t="shared" ca="1" si="19"/>
        <v>390.93</v>
      </c>
      <c r="L150" s="20">
        <f t="shared" ca="1" si="19"/>
        <v>400.70299999999997</v>
      </c>
      <c r="M150" s="20">
        <f t="shared" ca="1" si="19"/>
        <v>410.721</v>
      </c>
      <c r="N150" s="20">
        <f t="shared" ca="1" si="19"/>
        <v>420.98899999999998</v>
      </c>
      <c r="O150" s="20">
        <f t="shared" ca="1" si="19"/>
        <v>431.51299999999998</v>
      </c>
      <c r="P150" s="20">
        <f t="shared" ca="1" si="19"/>
        <v>442.30099999999999</v>
      </c>
    </row>
    <row r="151" spans="3:16" x14ac:dyDescent="0.35">
      <c r="C151" s="9" t="s">
        <v>153</v>
      </c>
      <c r="D151" s="9" t="s">
        <v>87</v>
      </c>
      <c r="G151" s="20">
        <f>G123</f>
        <v>300</v>
      </c>
      <c r="H151" s="20">
        <f t="shared" ref="H151:P151" si="20">H123</f>
        <v>307.5</v>
      </c>
      <c r="I151" s="20">
        <f t="shared" si="20"/>
        <v>315.1875</v>
      </c>
      <c r="J151" s="20">
        <f t="shared" si="20"/>
        <v>323.06718749999999</v>
      </c>
      <c r="K151" s="20">
        <f t="shared" si="20"/>
        <v>331.14386718749995</v>
      </c>
      <c r="L151" s="20">
        <f t="shared" si="20"/>
        <v>339.42246386718739</v>
      </c>
      <c r="M151" s="20">
        <f t="shared" si="20"/>
        <v>347.90802546386703</v>
      </c>
      <c r="N151" s="20">
        <f t="shared" si="20"/>
        <v>356.6057261004637</v>
      </c>
      <c r="O151" s="20">
        <f t="shared" si="20"/>
        <v>365.52086925297522</v>
      </c>
      <c r="P151" s="20">
        <f t="shared" si="20"/>
        <v>374.65889098429955</v>
      </c>
    </row>
    <row r="153" spans="3:16" x14ac:dyDescent="0.35">
      <c r="C153" s="9" t="s">
        <v>134</v>
      </c>
      <c r="D153" s="9" t="s">
        <v>135</v>
      </c>
      <c r="E153" s="16">
        <f ca="1">E81</f>
        <v>4000</v>
      </c>
      <c r="G153" s="23">
        <f ca="1">$E153</f>
        <v>4000</v>
      </c>
      <c r="H153" s="23">
        <f t="shared" ref="H153:P153" ca="1" si="21">$E153</f>
        <v>4000</v>
      </c>
      <c r="I153" s="23">
        <f t="shared" ca="1" si="21"/>
        <v>4000</v>
      </c>
      <c r="J153" s="23">
        <f t="shared" ca="1" si="21"/>
        <v>4000</v>
      </c>
      <c r="K153" s="23">
        <f t="shared" ca="1" si="21"/>
        <v>4000</v>
      </c>
      <c r="L153" s="23">
        <f t="shared" ca="1" si="21"/>
        <v>4000</v>
      </c>
      <c r="M153" s="23">
        <f t="shared" ca="1" si="21"/>
        <v>4000</v>
      </c>
      <c r="N153" s="23">
        <f t="shared" ca="1" si="21"/>
        <v>4000</v>
      </c>
      <c r="O153" s="23">
        <f t="shared" ca="1" si="21"/>
        <v>4000</v>
      </c>
      <c r="P153" s="23">
        <f t="shared" ca="1" si="21"/>
        <v>4000</v>
      </c>
    </row>
    <row r="154" spans="3:16" x14ac:dyDescent="0.35">
      <c r="C154" s="9" t="s">
        <v>136</v>
      </c>
      <c r="D154" s="9" t="s">
        <v>87</v>
      </c>
      <c r="G154" s="20">
        <f ca="1">G148/G153</f>
        <v>88.540750000000003</v>
      </c>
      <c r="H154" s="20">
        <f t="shared" ref="H154:P154" ca="1" si="22">H148/H153</f>
        <v>90.754249999999999</v>
      </c>
      <c r="I154" s="20">
        <f t="shared" ca="1" si="22"/>
        <v>93.023250000000004</v>
      </c>
      <c r="J154" s="20">
        <f t="shared" ca="1" si="22"/>
        <v>95.348749999999995</v>
      </c>
      <c r="K154" s="20">
        <f t="shared" ca="1" si="22"/>
        <v>97.732500000000002</v>
      </c>
      <c r="L154" s="20">
        <f t="shared" ca="1" si="22"/>
        <v>100.17574999999999</v>
      </c>
      <c r="M154" s="20">
        <f t="shared" ca="1" si="22"/>
        <v>102.68025</v>
      </c>
      <c r="N154" s="20">
        <f t="shared" ca="1" si="22"/>
        <v>105.24724999999999</v>
      </c>
      <c r="O154" s="20">
        <f t="shared" ca="1" si="22"/>
        <v>107.87824999999999</v>
      </c>
      <c r="P154" s="20">
        <f t="shared" ca="1" si="22"/>
        <v>110.57525</v>
      </c>
    </row>
    <row r="156" spans="3:16" x14ac:dyDescent="0.35">
      <c r="C156" s="9" t="s">
        <v>57</v>
      </c>
      <c r="D156" s="9" t="s">
        <v>54</v>
      </c>
      <c r="G156" s="20">
        <f ca="1">G139</f>
        <v>298.92333333333335</v>
      </c>
      <c r="H156" s="20">
        <f t="shared" ref="H156:P156" ca="1" si="23">H139</f>
        <v>298.88780487804883</v>
      </c>
      <c r="I156" s="20">
        <f t="shared" ca="1" si="23"/>
        <v>298.82212968471157</v>
      </c>
      <c r="J156" s="20">
        <f t="shared" ca="1" si="23"/>
        <v>298.75983614089563</v>
      </c>
      <c r="K156" s="20">
        <f t="shared" ca="1" si="23"/>
        <v>298.69645734370323</v>
      </c>
      <c r="L156" s="20">
        <f t="shared" ca="1" si="23"/>
        <v>298.6278481546276</v>
      </c>
      <c r="M156" s="20">
        <f t="shared" ca="1" si="23"/>
        <v>298.58322429181413</v>
      </c>
      <c r="N156" s="20">
        <f t="shared" ca="1" si="23"/>
        <v>298.5243707780765</v>
      </c>
      <c r="O156" s="20">
        <f t="shared" ca="1" si="23"/>
        <v>298.47953749664583</v>
      </c>
      <c r="P156" s="20">
        <f t="shared" ca="1" si="23"/>
        <v>298.4127767694834</v>
      </c>
    </row>
    <row r="157" spans="3:16" x14ac:dyDescent="0.35">
      <c r="C157" s="9" t="s">
        <v>138</v>
      </c>
      <c r="D157" s="9" t="s">
        <v>88</v>
      </c>
      <c r="G157" s="20">
        <f ca="1">G148/G156</f>
        <v>1184.7954324966267</v>
      </c>
      <c r="H157" s="20">
        <f t="shared" ref="H157:P157" ca="1" si="24">H148/H156</f>
        <v>1214.5594235539886</v>
      </c>
      <c r="I157" s="20">
        <f t="shared" ca="1" si="24"/>
        <v>1245.1989429049208</v>
      </c>
      <c r="J157" s="20">
        <f t="shared" ca="1" si="24"/>
        <v>1276.5939522745402</v>
      </c>
      <c r="K157" s="20">
        <f t="shared" ca="1" si="24"/>
        <v>1308.7868650218563</v>
      </c>
      <c r="L157" s="20">
        <f t="shared" ca="1" si="24"/>
        <v>1341.8139081004881</v>
      </c>
      <c r="M157" s="20">
        <f t="shared" ca="1" si="24"/>
        <v>1375.5662293960304</v>
      </c>
      <c r="N157" s="20">
        <f t="shared" ca="1" si="24"/>
        <v>1410.2332714167712</v>
      </c>
      <c r="O157" s="20">
        <f t="shared" ca="1" si="24"/>
        <v>1445.7037947026743</v>
      </c>
      <c r="P157" s="20">
        <f t="shared" ca="1" si="24"/>
        <v>1482.1784937903874</v>
      </c>
    </row>
  </sheetData>
  <conditionalFormatting sqref="F1:P1">
    <cfRule type="containsText" dxfId="21" priority="19" operator="containsText" text="FALSE">
      <formula>NOT(ISERROR(SEARCH("FALSE",F1)))</formula>
    </cfRule>
    <cfRule type="cellIs" dxfId="20" priority="20" operator="equal">
      <formula>TRUE</formula>
    </cfRule>
  </conditionalFormatting>
  <conditionalFormatting sqref="A146:B146 D146:XFD146 A56:XFD145 A147:XFD170">
    <cfRule type="containsText" dxfId="19" priority="11" operator="containsText" text="FALSE">
      <formula>NOT(ISERROR(SEARCH("FALSE",A56)))</formula>
    </cfRule>
    <cfRule type="cellIs" dxfId="18" priority="12" operator="equal">
      <formula>TRUE</formula>
    </cfRule>
    <cfRule type="containsText" dxfId="17" priority="13" operator="containsText" text="FALSE">
      <formula>NOT(ISERROR(SEARCH("FALSE",A56)))</formula>
    </cfRule>
    <cfRule type="cellIs" dxfId="16" priority="14" operator="equal">
      <formula>TRUE</formula>
    </cfRule>
    <cfRule type="containsText" dxfId="15" priority="15" operator="containsText" text="FALSE">
      <formula>NOT(ISERROR(SEARCH("FALSE",A56)))</formula>
    </cfRule>
    <cfRule type="cellIs" dxfId="14" priority="16" operator="equal">
      <formula>TRUE</formula>
    </cfRule>
    <cfRule type="containsText" dxfId="13" priority="17" operator="containsText" text="FALSE">
      <formula>NOT(ISERROR(SEARCH("FALSE",A56)))</formula>
    </cfRule>
    <cfRule type="cellIs" dxfId="12" priority="18" operator="equal">
      <formula>TRUE</formula>
    </cfRule>
  </conditionalFormatting>
  <conditionalFormatting sqref="C146">
    <cfRule type="containsText" dxfId="11" priority="3" operator="containsText" text="FALSE">
      <formula>NOT(ISERROR(SEARCH("FALSE",C146)))</formula>
    </cfRule>
    <cfRule type="cellIs" dxfId="10" priority="4" operator="equal">
      <formula>TRUE</formula>
    </cfRule>
    <cfRule type="containsText" dxfId="9" priority="5" operator="containsText" text="FALSE">
      <formula>NOT(ISERROR(SEARCH("FALSE",C146)))</formula>
    </cfRule>
    <cfRule type="cellIs" dxfId="8" priority="6" operator="equal">
      <formula>TRUE</formula>
    </cfRule>
    <cfRule type="containsText" dxfId="7" priority="7" operator="containsText" text="FALSE">
      <formula>NOT(ISERROR(SEARCH("FALSE",C146)))</formula>
    </cfRule>
    <cfRule type="cellIs" dxfId="6" priority="8" operator="equal">
      <formula>TRUE</formula>
    </cfRule>
    <cfRule type="containsText" dxfId="5" priority="9" operator="containsText" text="FALSE">
      <formula>NOT(ISERROR(SEARCH("FALSE",C146)))</formula>
    </cfRule>
    <cfRule type="cellIs" dxfId="4" priority="10" operator="equal">
      <formula>TRUE</formula>
    </cfRule>
  </conditionalFormatting>
  <conditionalFormatting sqref="A1:XFD1048576">
    <cfRule type="cellIs" dxfId="3" priority="2" operator="equal">
      <formula>TRUE</formula>
    </cfRule>
    <cfRule type="containsText" dxfId="2" priority="1" operator="containsText" text="FALSE">
      <formula>NOT(ISERROR(SEARCH("FALSE",A1)))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General Comments</vt:lpstr>
      <vt:lpstr>Assumptions for Regions</vt:lpstr>
      <vt:lpstr>Summary</vt:lpstr>
      <vt:lpstr>Assumptions</vt:lpstr>
      <vt:lpstr>PJM Analysis </vt:lpstr>
      <vt:lpstr>NE ISO Analysis</vt:lpstr>
      <vt:lpstr>CAISO Analysis</vt:lpstr>
      <vt:lpstr>ERCOT Analysis</vt:lpstr>
      <vt:lpstr>NY ISO</vt:lpstr>
      <vt:lpstr>CA ISO</vt:lpstr>
      <vt:lpstr>ERCOT</vt:lpstr>
      <vt:lpstr>Sheet25 (3)</vt:lpstr>
      <vt:lpstr>Sheet25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Presley</dc:creator>
  <cp:lastModifiedBy>Elvis Presley</cp:lastModifiedBy>
  <dcterms:created xsi:type="dcterms:W3CDTF">2017-04-24T18:25:45Z</dcterms:created>
  <dcterms:modified xsi:type="dcterms:W3CDTF">2017-04-27T15:24:05Z</dcterms:modified>
</cp:coreProperties>
</file>